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35" windowHeight="12195"/>
  </bookViews>
  <sheets>
    <sheet name="累计利润调整表" sheetId="1" r:id="rId1"/>
    <sheet name="累计考核费用" sheetId="2" r:id="rId2"/>
    <sheet name="分部报表" sheetId="9" r:id="rId3"/>
    <sheet name="费用表" sheetId="10" r:id="rId4"/>
    <sheet name="考核调整事项表" sheetId="3" r:id="rId5"/>
    <sheet name="资金" sheetId="8" r:id="rId6"/>
    <sheet name="Sheet1" sheetId="7" state="hidden" r:id="rId7"/>
    <sheet name="分部报表（费用）" sheetId="5" state="hidden" r:id="rId8"/>
    <sheet name="调整后万元版" sheetId="4" r:id="rId9"/>
    <sheet name="原格式费用考核表" sheetId="6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4" hidden="1">考核调整事项表!$A$50:$Y$291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总部交易</t>
        </r>
      </text>
    </comment>
    <comment ref="J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  <author xml:space="preserve"> </author>
  </authors>
  <commentList>
    <comment ref="I49" authorId="0">
      <text>
        <r>
          <rPr>
            <sz val="9"/>
            <rFont val="宋体"/>
            <charset val="134"/>
          </rPr>
          <t>黄奕馨:
注明流程号，如为纸质资料则注明，资料三方存档（调整方、被调整方、审核人）。</t>
        </r>
      </text>
    </comment>
    <comment ref="C52" authorId="1">
      <text>
        <r>
          <rPr>
            <b/>
            <sz val="9"/>
            <rFont val="宋体"/>
            <charset val="134"/>
          </rPr>
          <t xml:space="preserve"> :</t>
        </r>
        <r>
          <rPr>
            <sz val="9"/>
            <rFont val="宋体"/>
            <charset val="134"/>
          </rPr>
          <t xml:space="preserve">
1-4月固定格式，填5-12月发生数，需价税分离</t>
        </r>
      </text>
    </comment>
    <comment ref="I211" authorId="0">
      <text>
        <r>
          <rPr>
            <sz val="9"/>
            <rFont val="宋体"/>
            <charset val="134"/>
          </rPr>
          <t>黄奕馨:
流程号或纸质存档资料（三方存档）</t>
        </r>
      </text>
    </comment>
    <comment ref="B394" authorId="0">
      <text>
        <r>
          <rPr>
            <sz val="9"/>
            <rFont val="宋体"/>
            <charset val="134"/>
          </rPr>
          <t>黄奕馨:
调整为收入的“公允价值变动”科目，不调整对应税费。综合收益如调整别的部门的，需手工调整。</t>
        </r>
      </text>
    </comment>
    <comment ref="B398" authorId="0">
      <text>
        <r>
          <rPr>
            <sz val="9"/>
            <rFont val="宋体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>
      <text>
        <r>
          <rPr>
            <b/>
            <sz val="9"/>
            <rFont val="宋体"/>
            <charset val="134"/>
          </rPr>
          <t>tiantian:</t>
        </r>
        <r>
          <rPr>
            <sz val="9"/>
            <rFont val="宋体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<sst xmlns="http://schemas.openxmlformats.org/spreadsheetml/2006/main" count="3322" uniqueCount="653">
  <si>
    <t>2017年1-10月利润调整表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</si>
  <si>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</si>
  <si>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</si>
  <si>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</si>
  <si>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</si>
  <si>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</si>
  <si>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</si>
  <si>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</si>
  <si>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资管业务</t>
  </si>
  <si>
    <t>资产管理部</t>
  </si>
  <si>
    <t>权益产品投资部</t>
  </si>
  <si>
    <t>固收产品投资部</t>
  </si>
  <si>
    <t>量化产品投资部</t>
  </si>
  <si>
    <t>深分公司合计</t>
  </si>
  <si>
    <t>固定收益投资部</t>
  </si>
  <si>
    <t>固定收益市场部</t>
  </si>
  <si>
    <t>投顾业务部</t>
  </si>
  <si>
    <t>证券投资部</t>
  </si>
  <si>
    <t>做市业务部</t>
  </si>
  <si>
    <t>金融衍生品部</t>
  </si>
  <si>
    <t>深圳管理部</t>
  </si>
  <si>
    <t>投资银行合计</t>
  </si>
  <si>
    <t>投资银行三部</t>
  </si>
  <si>
    <t>投资银行一部</t>
  </si>
  <si>
    <t>投资银行二部</t>
  </si>
  <si>
    <t>投资银行四部</t>
  </si>
  <si>
    <t>投资银行北京一部</t>
  </si>
  <si>
    <t>投资银行北京二部</t>
  </si>
  <si>
    <t>投资银行深圳一部（筹）</t>
  </si>
  <si>
    <t>投资银行管理部</t>
  </si>
  <si>
    <t>运营支持部</t>
  </si>
  <si>
    <t>一、营业收入</t>
  </si>
  <si>
    <t xml:space="preserve">   1.手续费及佣金收入</t>
  </si>
  <si>
    <t>其中：证券经纪业务净收入</t>
  </si>
  <si>
    <t xml:space="preserve">      投资银行业务净收入</t>
  </si>
  <si>
    <t xml:space="preserve">      资产管理业务净收入</t>
  </si>
  <si>
    <t>2.利息净收入</t>
  </si>
  <si>
    <t>3.投资收益</t>
  </si>
  <si>
    <t xml:space="preserve">        其中:对联营企业和合营企业的投资收益</t>
  </si>
  <si>
    <t>4.公允价值变动</t>
  </si>
  <si>
    <t>5.汇兑损益</t>
  </si>
  <si>
    <t>6.其他业务收入</t>
  </si>
  <si>
    <t>二、营业支出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</si>
  <si>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</si>
  <si>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</si>
  <si>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</si>
  <si>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</si>
  <si>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>三、营业利润</t>
  </si>
  <si>
    <t xml:space="preserve">   加：营业外收入</t>
  </si>
  <si>
    <t xml:space="preserve">   减：营业外支出</t>
  </si>
  <si>
    <t>四、利润总额</t>
  </si>
  <si>
    <t xml:space="preserve">  减：所得税费用</t>
  </si>
  <si>
    <t>五、净利润</t>
  </si>
  <si>
    <t>综合收益</t>
  </si>
  <si>
    <t>六、综合收益总额</t>
  </si>
  <si>
    <t>验证：</t>
  </si>
  <si>
    <t>考核调整数据</t>
  </si>
  <si>
    <t>运营管理部</t>
  </si>
  <si>
    <r>
      <rPr>
        <b/>
        <sz val="10"/>
        <rFont val="Times New Roman"/>
        <charset val="134"/>
      </rPr>
      <t xml:space="preserve">   1.</t>
    </r>
    <r>
      <rPr>
        <b/>
        <sz val="10"/>
        <rFont val="宋体"/>
        <charset val="134"/>
      </rPr>
      <t>手续费及佣金收入</t>
    </r>
  </si>
  <si>
    <r>
      <rPr>
        <b/>
        <sz val="10"/>
        <rFont val="Times New Roman"/>
        <charset val="134"/>
      </rPr>
      <t>2.</t>
    </r>
    <r>
      <rPr>
        <b/>
        <sz val="10"/>
        <rFont val="宋体"/>
        <charset val="134"/>
      </rPr>
      <t>利息净收入</t>
    </r>
  </si>
  <si>
    <r>
      <rPr>
        <b/>
        <sz val="10"/>
        <rFont val="Times New Roman"/>
        <charset val="134"/>
      </rPr>
      <t xml:space="preserve">        </t>
    </r>
    <r>
      <rPr>
        <b/>
        <sz val="10"/>
        <rFont val="宋体"/>
        <charset val="134"/>
      </rPr>
      <t>其中</t>
    </r>
    <r>
      <rPr>
        <b/>
        <sz val="10"/>
        <rFont val="Times New Roman"/>
        <charset val="134"/>
      </rPr>
      <t>:</t>
    </r>
    <r>
      <rPr>
        <b/>
        <sz val="10"/>
        <rFont val="宋体"/>
        <charset val="134"/>
      </rPr>
      <t>对联营企业和合营企业的投资收益</t>
    </r>
  </si>
  <si>
    <r>
      <rPr>
        <b/>
        <sz val="10"/>
        <rFont val="Times New Roman"/>
        <charset val="134"/>
      </rPr>
      <t>5.</t>
    </r>
    <r>
      <rPr>
        <b/>
        <sz val="10"/>
        <rFont val="宋体"/>
        <charset val="134"/>
      </rPr>
      <t>汇兑损益</t>
    </r>
  </si>
  <si>
    <r>
      <rPr>
        <b/>
        <sz val="10"/>
        <rFont val="Times New Roman"/>
        <charset val="134"/>
      </rPr>
      <t>6.</t>
    </r>
    <r>
      <rPr>
        <b/>
        <sz val="10"/>
        <rFont val="宋体"/>
        <charset val="134"/>
      </rPr>
      <t>其他业务收入</t>
    </r>
  </si>
  <si>
    <r>
      <rPr>
        <sz val="10"/>
        <rFont val="Times New Roman"/>
        <charset val="134"/>
      </rPr>
      <t xml:space="preserve">   1.</t>
    </r>
    <r>
      <rPr>
        <sz val="10"/>
        <rFont val="宋体"/>
        <charset val="134"/>
      </rPr>
      <t>营业税金及附加</t>
    </r>
  </si>
  <si>
    <r>
      <rPr>
        <sz val="10"/>
        <rFont val="Times New Roman"/>
        <charset val="134"/>
      </rPr>
      <t xml:space="preserve">   2.</t>
    </r>
    <r>
      <rPr>
        <sz val="10"/>
        <rFont val="宋体"/>
        <charset val="134"/>
      </rPr>
      <t>业务及管理费</t>
    </r>
  </si>
  <si>
    <r>
      <rPr>
        <sz val="10"/>
        <rFont val="Times New Roman"/>
        <charset val="134"/>
      </rPr>
      <t xml:space="preserve">   3.</t>
    </r>
    <r>
      <rPr>
        <sz val="10"/>
        <rFont val="宋体"/>
        <charset val="134"/>
      </rPr>
      <t>资产减值损失</t>
    </r>
  </si>
  <si>
    <r>
      <rPr>
        <sz val="10"/>
        <rFont val="Times New Roman"/>
        <charset val="134"/>
      </rPr>
      <t xml:space="preserve">   4.</t>
    </r>
    <r>
      <rPr>
        <sz val="10"/>
        <rFont val="宋体"/>
        <charset val="134"/>
      </rPr>
      <t>其它业务成本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</si>
  <si>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加：营业外收入</t>
    </r>
  </si>
  <si>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减：营业外支出</t>
    </r>
  </si>
  <si>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减：所得税费用</t>
    </r>
  </si>
  <si>
    <t>资金成本</t>
  </si>
  <si>
    <t>日均规模</t>
  </si>
  <si>
    <t>日均规模（万元）</t>
  </si>
  <si>
    <t>考核利润表</t>
  </si>
  <si>
    <t>调整后</t>
  </si>
  <si>
    <t>2018.5.8</t>
  </si>
  <si>
    <t>部门考核利润</t>
  </si>
  <si>
    <t>营业收入</t>
  </si>
  <si>
    <t>固定收益部</t>
  </si>
  <si>
    <t>金融衍生品投资部</t>
  </si>
  <si>
    <t>风险管理部</t>
  </si>
  <si>
    <t>中小企业融资部</t>
  </si>
  <si>
    <t>债券融资部</t>
  </si>
  <si>
    <t>财务顾问部</t>
  </si>
  <si>
    <t>投行管理总部</t>
  </si>
  <si>
    <t>浙江分公司小计</t>
  </si>
  <si>
    <t>浙分总部</t>
  </si>
  <si>
    <t>2017年1-9月费用调整表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</si>
  <si>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</si>
  <si>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</si>
  <si>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</si>
  <si>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</si>
  <si>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</si>
  <si>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</si>
  <si>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</si>
  <si>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</si>
  <si>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</si>
  <si>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</si>
  <si>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</si>
  <si>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</si>
  <si>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</si>
  <si>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</si>
  <si>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</si>
  <si>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</si>
  <si>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</si>
  <si>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</si>
  <si>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</si>
  <si>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</si>
  <si>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</si>
  <si>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</si>
  <si>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</si>
  <si>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</si>
  <si>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</si>
  <si>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</si>
  <si>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</si>
  <si>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</si>
  <si>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</si>
  <si>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</si>
  <si>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</si>
  <si>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</si>
  <si>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</si>
  <si>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</si>
  <si>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</si>
  <si>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</si>
  <si>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</si>
  <si>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</si>
  <si>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</si>
  <si>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</si>
  <si>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</si>
  <si>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</si>
  <si>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</si>
  <si>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</si>
  <si>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</si>
  <si>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</si>
  <si>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</si>
  <si>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</si>
  <si>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</si>
  <si>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</si>
  <si>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</si>
  <si>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</si>
  <si>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</si>
  <si>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财富证券分业务</t>
  </si>
  <si>
    <t>深圳分公司</t>
  </si>
  <si>
    <t>投资银行部</t>
  </si>
  <si>
    <t>浙江分公司</t>
  </si>
  <si>
    <t>经纪业务</t>
  </si>
  <si>
    <t>证券营业部</t>
  </si>
  <si>
    <t>财富合并</t>
  </si>
  <si>
    <t>母公司合并</t>
  </si>
  <si>
    <t>德盛</t>
  </si>
  <si>
    <t>惠和</t>
  </si>
  <si>
    <t>惠和基金</t>
  </si>
  <si>
    <t>集合</t>
  </si>
  <si>
    <t>合并抵销</t>
  </si>
  <si>
    <t>财富证券总部</t>
  </si>
  <si>
    <t>总部交易</t>
  </si>
  <si>
    <t>结算托管部</t>
  </si>
  <si>
    <t>投资银行总部</t>
  </si>
  <si>
    <t>网络金融部</t>
  </si>
  <si>
    <t>广东分公司</t>
  </si>
  <si>
    <t>母公司抵消</t>
  </si>
  <si>
    <t>深圳管理总部</t>
  </si>
  <si>
    <t>投资银行深圳一部</t>
  </si>
  <si>
    <t>浙江管理总部</t>
  </si>
  <si>
    <t>综合业务部</t>
  </si>
  <si>
    <t>经纪业务总部</t>
  </si>
  <si>
    <t>零售业务部</t>
  </si>
  <si>
    <t>金融产品部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</si>
  <si>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</si>
  <si>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</si>
  <si>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</si>
  <si>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</si>
  <si>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</si>
  <si>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</si>
  <si>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</si>
  <si>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</si>
  <si>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</si>
  <si>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</si>
  <si>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</si>
  <si>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</si>
  <si>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</si>
  <si>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深圳宝安南路营业部</t>
  </si>
  <si>
    <t>深圳深南营业部</t>
  </si>
  <si>
    <t>吉首营业部</t>
  </si>
  <si>
    <t>张家界营业部</t>
  </si>
  <si>
    <t>衡阳营业部</t>
  </si>
  <si>
    <t>株洲营业部</t>
  </si>
  <si>
    <t>怀化营业部</t>
  </si>
  <si>
    <t>娄底营业部</t>
  </si>
  <si>
    <t>常德营业部</t>
  </si>
  <si>
    <t>湘潭芙蓉营业部</t>
  </si>
  <si>
    <t>长沙观沙路营业部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</si>
  <si>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</si>
  <si>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</si>
  <si>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</si>
  <si>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</si>
  <si>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</si>
  <si>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</si>
  <si>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</si>
  <si>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</si>
  <si>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</si>
  <si>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</si>
  <si>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</si>
  <si>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</si>
  <si>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</si>
  <si>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</si>
  <si>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</si>
  <si>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</si>
  <si>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</si>
  <si>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南京营业部</t>
  </si>
  <si>
    <t>福州营业部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</si>
  <si>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</si>
  <si>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</si>
  <si>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</si>
  <si>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</si>
  <si>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</si>
  <si>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</si>
  <si>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</si>
  <si>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</si>
  <si>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</si>
  <si>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</si>
  <si>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</si>
  <si>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</si>
  <si>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</si>
  <si>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</si>
  <si>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</si>
  <si>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</si>
  <si>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</si>
  <si>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</si>
  <si>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</si>
  <si>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</si>
  <si>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东莞营业部</t>
  </si>
  <si>
    <t>台州三门营业部</t>
  </si>
  <si>
    <t>杭州绍兴路营业部</t>
  </si>
  <si>
    <t>浙江长兴营业部</t>
  </si>
  <si>
    <t>营业部</t>
  </si>
  <si>
    <t>经纪</t>
  </si>
  <si>
    <t>浙分</t>
  </si>
  <si>
    <t>资管</t>
  </si>
  <si>
    <t>投行</t>
  </si>
  <si>
    <t>深分</t>
  </si>
  <si>
    <t>手续费及佣金净收入</t>
  </si>
  <si>
    <t>投资银行业务净收入</t>
  </si>
  <si>
    <t>资产管理业务净收入</t>
  </si>
  <si>
    <t>利息净收入</t>
  </si>
  <si>
    <t>投资收益</t>
  </si>
  <si>
    <t xml:space="preserve">  对联营企业和合营企业的投资收益</t>
  </si>
  <si>
    <t>公允价值变动收益</t>
  </si>
  <si>
    <t>汇兑收益</t>
  </si>
  <si>
    <t>其他业务收入</t>
  </si>
  <si>
    <t>资产处置收益（亏损以“-”号填列）</t>
  </si>
  <si>
    <t>其他收益</t>
  </si>
  <si>
    <t>营业税金及附加</t>
  </si>
  <si>
    <t>业务及管理费</t>
  </si>
  <si>
    <t>资产减值损失</t>
  </si>
  <si>
    <t>其他业务成本</t>
  </si>
  <si>
    <t>加：营业外收入</t>
  </si>
  <si>
    <t>减：营业外支出</t>
  </si>
  <si>
    <t>四、利润总额（亏损总额以"-"号填列）</t>
  </si>
  <si>
    <t>所得税费用</t>
  </si>
  <si>
    <t>归属于母公司所有者的净利润</t>
  </si>
  <si>
    <t>少数股东损益</t>
  </si>
  <si>
    <t>归属于母公司所有者的综合收益</t>
  </si>
  <si>
    <t>少数股东综合收益</t>
  </si>
  <si>
    <t>综合收益总额</t>
  </si>
  <si>
    <t>归属于母公司所有者的综合收益总额</t>
  </si>
  <si>
    <t>少数股东综合收益总额</t>
  </si>
  <si>
    <t>累计数</t>
  </si>
  <si>
    <t>验算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</si>
  <si>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</si>
  <si>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</si>
  <si>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</si>
  <si>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</si>
  <si>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</si>
  <si>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</si>
  <si>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</si>
  <si>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</si>
  <si>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</si>
  <si>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</si>
  <si>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</si>
  <si>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</si>
  <si>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</si>
  <si>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</si>
  <si>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资产托管部</t>
  </si>
  <si>
    <t>培训学院</t>
  </si>
  <si>
    <t>外派人员</t>
  </si>
  <si>
    <t>监事会</t>
  </si>
  <si>
    <t>投资银行</t>
  </si>
  <si>
    <t>长沙银盆营业部</t>
  </si>
  <si>
    <t>财富</t>
  </si>
  <si>
    <t>综合</t>
  </si>
  <si>
    <t>1</t>
  </si>
  <si>
    <t>自选福利</t>
  </si>
  <si>
    <t>中介费用</t>
  </si>
  <si>
    <t>其它</t>
  </si>
  <si>
    <t>交易席位费摊销</t>
  </si>
  <si>
    <t>2017年1-9月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</si>
  <si>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</si>
  <si>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</si>
  <si>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</si>
  <si>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</si>
  <si>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</si>
  <si>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</si>
  <si>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</si>
  <si>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</si>
  <si>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</si>
  <si>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</si>
  <si>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</si>
  <si>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深圳红桂路营业部于2017年4月、5月共计收到兴业全球基金佣金</t>
  </si>
  <si>
    <t>3</t>
  </si>
  <si>
    <t>固收期货</t>
  </si>
  <si>
    <t>通道占用</t>
  </si>
  <si>
    <t>4</t>
  </si>
  <si>
    <t>金衍期货</t>
  </si>
  <si>
    <t>5</t>
  </si>
  <si>
    <t>量化期货</t>
  </si>
  <si>
    <t>6</t>
  </si>
  <si>
    <t>固收2921账户基金投资收益</t>
  </si>
  <si>
    <t>7</t>
  </si>
  <si>
    <t>固收2921账户基金浮动盈亏</t>
  </si>
  <si>
    <t>10</t>
  </si>
  <si>
    <t>新三板挂牌，浙江分公司承做</t>
  </si>
  <si>
    <t>11</t>
  </si>
  <si>
    <t>往年分销费收回及冲计提2016收入</t>
  </si>
  <si>
    <t>12</t>
  </si>
  <si>
    <t>资金运营部委托现金管理收入</t>
  </si>
  <si>
    <t>13</t>
  </si>
  <si>
    <t>固收代持撮合、申购户浮动盈亏调出（不含150218、160303）</t>
  </si>
  <si>
    <t>14</t>
  </si>
  <si>
    <t>累计IB分成利润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</si>
  <si>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</si>
  <si>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</si>
  <si>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</si>
  <si>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</si>
  <si>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</si>
  <si>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</si>
  <si>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19</t>
  </si>
  <si>
    <t>月多利1-6号利息支出,财丰金系列</t>
  </si>
  <si>
    <t>20</t>
  </si>
  <si>
    <t>固收代资金运营部购买基金收入</t>
  </si>
  <si>
    <t>21</t>
  </si>
  <si>
    <t>1-12月投行协同收入调整（双计）</t>
  </si>
  <si>
    <t>22</t>
  </si>
  <si>
    <t>月多利5号利息支出</t>
  </si>
  <si>
    <t>23</t>
  </si>
  <si>
    <t>财富2号佣金和业绩报酬划经纪业务资管调和金量化产品、财富1号2号销售服务费入营业部收入（收入双计）14465.82</t>
  </si>
  <si>
    <t>24</t>
  </si>
  <si>
    <t>债券受托管理费调整至业务部门</t>
  </si>
  <si>
    <t>25</t>
  </si>
  <si>
    <t>珠江6号收入划至曙光营业部</t>
  </si>
  <si>
    <t>BGS0108-20160470.管理费50%、交易费50%、业绩报酬90%归资管，其余归曙光路营业部</t>
  </si>
  <si>
    <t>26</t>
  </si>
  <si>
    <t>三诺生物1号交易费转长沙八一</t>
  </si>
  <si>
    <t>BGS0108-20170248.管理费归资管，交易费归长沙八一营业部</t>
  </si>
  <si>
    <t>27</t>
  </si>
  <si>
    <t>融盈2号业绩报酬调至投资收益</t>
  </si>
  <si>
    <t>18</t>
  </si>
  <si>
    <t>融盈2号号业绩报酬调至投资收益</t>
  </si>
  <si>
    <t>30</t>
  </si>
  <si>
    <t>运通16号收入每年56万（含税），第一年给资管18万，后两年全给投行一部</t>
  </si>
  <si>
    <t>31</t>
  </si>
  <si>
    <t>做市业务部推荐做市分成收入（快乐传媒）</t>
  </si>
  <si>
    <t>32</t>
  </si>
  <si>
    <t>34</t>
  </si>
  <si>
    <t xml:space="preserve"> 投顾业务部期初分账产品公允价值（年初固定调整） </t>
  </si>
  <si>
    <t>35</t>
  </si>
  <si>
    <t>珠江8号收入划投顾部</t>
  </si>
  <si>
    <t>36</t>
  </si>
  <si>
    <t>珠江16号收入划投顾部</t>
  </si>
  <si>
    <t>37</t>
  </si>
  <si>
    <t>珠江10号收入划投顾部</t>
  </si>
  <si>
    <t>38</t>
  </si>
  <si>
    <t>惠丰稳健22号收入50%给投顾部</t>
  </si>
  <si>
    <t>财富2号佣金和业绩报酬划经纪业务</t>
  </si>
  <si>
    <t>40</t>
  </si>
  <si>
    <t>运通70号收入划浙分综合业务部</t>
  </si>
  <si>
    <t>BGS0108-20171046，资管每年8万，其余为浙分</t>
  </si>
  <si>
    <t>41</t>
  </si>
  <si>
    <t>运通20号收入划红桂营业部</t>
  </si>
  <si>
    <t>BGS0108-20161346.收入10%归资管，90%归红桂营业部</t>
  </si>
  <si>
    <t>42</t>
  </si>
  <si>
    <t>浦发长春1号收入划长春营业部</t>
  </si>
  <si>
    <t>BGS0108-20170567.前5年资管每季2万，其余为长春营业部</t>
  </si>
  <si>
    <t>43</t>
  </si>
  <si>
    <t>运通22号收入划青岛营业部</t>
  </si>
  <si>
    <t>BGS0108-20170399.资管总共收10万，其余为青岛营业部</t>
  </si>
  <si>
    <t>45</t>
  </si>
  <si>
    <t>已开专票尚未到账预提收入</t>
  </si>
  <si>
    <t>47</t>
  </si>
  <si>
    <t xml:space="preserve"> 量化委托证投自营投资收益</t>
  </si>
  <si>
    <t>48</t>
  </si>
  <si>
    <t xml:space="preserve"> 量化委托证投自营公允价值变动损益</t>
  </si>
  <si>
    <t>49</t>
  </si>
  <si>
    <t xml:space="preserve"> 量化委托证投自营利息收入</t>
  </si>
  <si>
    <t>50</t>
  </si>
  <si>
    <t xml:space="preserve"> 量化委托证投手续费及佣金收入</t>
  </si>
  <si>
    <t>51</t>
  </si>
  <si>
    <t>场外期权费</t>
  </si>
  <si>
    <t>场外期权费协同收入调整</t>
  </si>
  <si>
    <t>55</t>
  </si>
  <si>
    <t>财兴2号第60期管理费收入划永州营业部</t>
  </si>
  <si>
    <t>BGS0108-20170780.资管53%，永州47%</t>
  </si>
  <si>
    <t>56</t>
  </si>
  <si>
    <t>点米1号退还管理费资管和南京各承担一半</t>
  </si>
  <si>
    <t>BGS0108-20171089，退还管理费资管和南京营业部各承担一半</t>
  </si>
  <si>
    <t>宝辰投资投顾费(手签）</t>
  </si>
  <si>
    <t>桑植农商行投顾费营业部与投顾50%</t>
  </si>
  <si>
    <t>17财富01考核收入调增</t>
  </si>
  <si>
    <t>58</t>
  </si>
  <si>
    <t>省政府专项债收入调至经纪业务线（BGS0108-20171281）</t>
  </si>
  <si>
    <t>丰电科技做市浮动盈亏分成</t>
  </si>
  <si>
    <t>2016年中小融与做市部协同备忘录</t>
  </si>
  <si>
    <t>17691127.03</t>
  </si>
  <si>
    <t>管理牌照费</t>
  </si>
  <si>
    <t>39</t>
  </si>
  <si>
    <t>牌照费</t>
  </si>
  <si>
    <t>大业创智调整</t>
  </si>
  <si>
    <t>（两只股票影响）</t>
  </si>
  <si>
    <t>常州汉腾化工新三板项目收入分成综合业务部80%，投三20%</t>
  </si>
  <si>
    <t>BGS0108-20180226</t>
  </si>
  <si>
    <t>省政府专项债收入调至经纪业务线</t>
  </si>
  <si>
    <t>省政府专项债收入调至固收业务条线</t>
  </si>
  <si>
    <t>12月省政府专项债应付分销支出预提</t>
  </si>
  <si>
    <t>和金量化10号交易费划经总</t>
  </si>
  <si>
    <t>9</t>
  </si>
  <si>
    <t>运通61号业绩报酬</t>
  </si>
  <si>
    <t>BGS0108-20171869</t>
  </si>
  <si>
    <t>运通61号业绩报酬转湘潭韶中</t>
  </si>
  <si>
    <t>运通77号业绩报酬</t>
  </si>
  <si>
    <t>BGS0108-20171870</t>
  </si>
  <si>
    <t>运通77号业绩报酬转株洲</t>
  </si>
  <si>
    <t>珠池12号交易费用划经总</t>
  </si>
  <si>
    <t>中科曙光成本调整（2018冲回）</t>
  </si>
  <si>
    <t>三、营业税调整项</t>
  </si>
  <si>
    <t>8</t>
  </si>
  <si>
    <t>IB为税后，无税金</t>
  </si>
  <si>
    <t>营销费双计收入，不考虑税金</t>
  </si>
  <si>
    <t>28</t>
  </si>
  <si>
    <t>29</t>
  </si>
  <si>
    <t>33</t>
  </si>
  <si>
    <t>44</t>
  </si>
  <si>
    <t>46</t>
  </si>
  <si>
    <t>52</t>
  </si>
  <si>
    <t>53</t>
  </si>
  <si>
    <t>54</t>
  </si>
  <si>
    <t>57</t>
  </si>
  <si>
    <t>59</t>
  </si>
  <si>
    <t>60</t>
  </si>
  <si>
    <t>61</t>
  </si>
  <si>
    <t>62</t>
  </si>
  <si>
    <t>63</t>
  </si>
  <si>
    <t>64</t>
  </si>
  <si>
    <t>L</t>
  </si>
  <si>
    <t>四、费用调整项</t>
  </si>
  <si>
    <t>不考虑税费，已扣除</t>
  </si>
  <si>
    <t>期权费审计调整影响的投保</t>
  </si>
  <si>
    <t>大业创智审计调整影响的投保</t>
  </si>
  <si>
    <t>渠道引流业务广告费调入（2017年应付未付同花顺，考核入2017费用）</t>
  </si>
  <si>
    <t>调至惠和</t>
  </si>
  <si>
    <t>运通22号咨询费划青岛营业部</t>
  </si>
  <si>
    <t>BGS0108-20170399.对应收入和费用归青岛营业部</t>
  </si>
  <si>
    <t>总部大宗采购分摊费用</t>
  </si>
  <si>
    <t>大宗采购分摊</t>
  </si>
  <si>
    <t>专家咨询费</t>
  </si>
  <si>
    <t>纸质签字</t>
  </si>
  <si>
    <t>和金量化7号销售费用划营业部（见签字件）</t>
  </si>
  <si>
    <t>和金量化1号销售费用划营业部（见签字件）</t>
  </si>
  <si>
    <t>和金量化10号销售费用划营业部（见签字件及流程BGS0108-20171254）</t>
  </si>
  <si>
    <t>珠池12号销售费用划营业部（见流程BGS0108-20171159）</t>
  </si>
  <si>
    <t>专家费用</t>
  </si>
  <si>
    <t>星沙、上海代付办公室车辆折旧费</t>
  </si>
  <si>
    <t>深分代垫惠和物业管理费、租金</t>
  </si>
  <si>
    <t>深分代垫福田营业部租金及管理费（橄榄大厦、地铁大厦）</t>
  </si>
  <si>
    <t>财富3号销售费用划营业部（见签字件）</t>
  </si>
  <si>
    <t>财富1号2-10期销售费用划营业部（见签字件）</t>
  </si>
  <si>
    <t>财富2号销售费用划营业部（见签字件）</t>
  </si>
  <si>
    <t>总部大宗采购分摊费用转出</t>
  </si>
  <si>
    <t>深圳团队费用</t>
  </si>
  <si>
    <t>渠道引流业务广告费调出（2016年应付未付，已考核入2016费用）</t>
  </si>
  <si>
    <t>总部代零售采购固定资产一批入营销活动费(纸质签字）</t>
  </si>
  <si>
    <t>折旧费分摊</t>
  </si>
  <si>
    <t>大宗采购费用</t>
  </si>
  <si>
    <t>运营管理部代付经总部费用</t>
  </si>
  <si>
    <t>补提2016年新三板项目承揽费按比例从中小融调出（100%）</t>
  </si>
  <si>
    <t>总部营业部代付运营管理部呼叫中心管理费用</t>
  </si>
  <si>
    <t>和畅量化1号销售费用划营业部（见签字件）</t>
  </si>
  <si>
    <t>承做费从业务部门调到总部</t>
  </si>
  <si>
    <t>部门费用分摊</t>
  </si>
  <si>
    <t>保代津贴从投行二部调入投行管理部</t>
  </si>
  <si>
    <t>和金量化11号销售费用（先考核一个季度的费用，见签字件）</t>
  </si>
  <si>
    <t>财富1号3-11期陆金所、京东销售费用</t>
  </si>
  <si>
    <t>总部分摊费用-折旧长摊</t>
  </si>
  <si>
    <t>运通70号咨询费划浙江分公司</t>
  </si>
  <si>
    <t>社保</t>
  </si>
  <si>
    <t>公积金</t>
  </si>
  <si>
    <t>工资</t>
  </si>
  <si>
    <t>深圳一部工资调出</t>
  </si>
  <si>
    <t>2017年度费用分摊</t>
  </si>
  <si>
    <t>总部分摊费用</t>
  </si>
  <si>
    <t>总部分摊折旧摊销等费用</t>
  </si>
  <si>
    <t>省政府专项债收入调至经纪业务线（BGS0108-20171281）增加8万收入和7.1万费用</t>
  </si>
  <si>
    <t>新设营业部广告制作摊销调整至董办</t>
  </si>
  <si>
    <t>BGS0118-20180321</t>
  </si>
  <si>
    <t>投行承揽费双计进浙分综合业务部（浙江新华书店、江阴华新科技）</t>
  </si>
  <si>
    <t>常州汉腾化工新三板项目承揽费用分成综合业务部80%，投三20%</t>
  </si>
  <si>
    <t>考核利润</t>
  </si>
  <si>
    <t>综合收益调整表</t>
  </si>
  <si>
    <t>序号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</si>
  <si>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</si>
  <si>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</si>
  <si>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</si>
  <si>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</si>
  <si>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</si>
  <si>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</si>
  <si>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慧丰稳健22号</t>
  </si>
  <si>
    <t>资产管理浮动收益</t>
  </si>
  <si>
    <t>产品浮动盈亏</t>
  </si>
  <si>
    <t>融券浮动收益</t>
  </si>
  <si>
    <t>华润睿致投顾给来50%</t>
  </si>
  <si>
    <t>华润睿致产品部给来50%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</si>
  <si>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</si>
  <si>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</si>
  <si>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</si>
  <si>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</si>
  <si>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</si>
  <si>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业务部门资金日均占用统计表</t>
  </si>
  <si>
    <t>投行一部</t>
  </si>
  <si>
    <t>已拨付资金</t>
  </si>
  <si>
    <t>专属保证金</t>
  </si>
  <si>
    <t>专属最低备付金</t>
  </si>
  <si>
    <t>最低备付金分摊</t>
  </si>
  <si>
    <t>保证金分摊</t>
  </si>
  <si>
    <t>内部资金利息</t>
  </si>
  <si>
    <t>与上版（1.18）日均差额</t>
  </si>
  <si>
    <t>与上版（1.18）资金成本差额</t>
  </si>
  <si>
    <t>考核收入</t>
  </si>
  <si>
    <t>收益率</t>
  </si>
  <si>
    <t>固收条线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</si>
  <si>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</si>
  <si>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</si>
  <si>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</si>
  <si>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</si>
  <si>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</si>
  <si>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</si>
  <si>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</si>
  <si>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</si>
  <si>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</si>
  <si>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</si>
  <si>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</si>
  <si>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</si>
  <si>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</si>
  <si>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</si>
  <si>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</si>
  <si>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</si>
  <si>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</si>
  <si>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</si>
  <si>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</si>
  <si>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</si>
  <si>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</si>
  <si>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</si>
  <si>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</si>
  <si>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</si>
  <si>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</si>
  <si>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</si>
  <si>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</si>
  <si>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</si>
  <si>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</si>
  <si>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</si>
  <si>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</si>
  <si>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</si>
  <si>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</si>
  <si>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</si>
  <si>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</si>
  <si>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</si>
  <si>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</si>
  <si>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</si>
  <si>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</si>
  <si>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</si>
  <si>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</si>
  <si>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</si>
  <si>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</si>
  <si>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</si>
  <si>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</si>
  <si>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</si>
  <si>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</si>
  <si>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</si>
  <si>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</si>
  <si>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</si>
  <si>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</si>
  <si>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</si>
  <si>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</si>
  <si>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</si>
  <si>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</si>
  <si>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</si>
  <si>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</si>
  <si>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</si>
  <si>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</si>
  <si>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</si>
  <si>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</si>
  <si>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</si>
  <si>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</si>
  <si>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</si>
  <si>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</si>
  <si>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</si>
  <si>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</si>
  <si>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</si>
  <si>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</si>
  <si>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</si>
  <si>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</si>
  <si>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</si>
  <si>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</si>
  <si>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</si>
  <si>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</si>
  <si>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</si>
  <si>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</si>
  <si>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</si>
  <si>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</si>
  <si>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</si>
  <si>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</si>
  <si>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</si>
  <si>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</si>
  <si>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</si>
  <si>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</si>
  <si>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</si>
  <si>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</si>
  <si>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</si>
  <si>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</si>
  <si>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</si>
  <si>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</si>
  <si>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</si>
  <si>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</si>
  <si>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</si>
  <si>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</si>
  <si>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</si>
  <si>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</si>
  <si>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</si>
  <si>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</si>
  <si>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</si>
  <si>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</si>
  <si>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</si>
  <si>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</si>
  <si>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</si>
  <si>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投行汇总</t>
  </si>
  <si>
    <t>浙分汇总</t>
  </si>
  <si>
    <t>风险管理部（深）</t>
  </si>
  <si>
    <t>金融工程部</t>
  </si>
  <si>
    <t>投资银行管理总部</t>
  </si>
  <si>
    <t>股权融资部</t>
  </si>
  <si>
    <t>信用业务部</t>
  </si>
  <si>
    <t>深圳红桂营业部</t>
  </si>
  <si>
    <t>8月本月数</t>
  </si>
  <si>
    <t>中后台合计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</si>
  <si>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-7月</t>
    </r>
  </si>
</sst>
</file>

<file path=xl/styles.xml><?xml version="1.0" encoding="utf-8"?>
<styleSheet xmlns="http://schemas.openxmlformats.org/spreadsheetml/2006/main">
  <numFmts count="16">
    <numFmt numFmtId="176" formatCode="0.00_ "/>
    <numFmt numFmtId="177" formatCode="_ * #,##0.0000_ ;_ * \-#,##0.0000_ ;_ * &quot;-&quot;_ ;_ @_ "/>
    <numFmt numFmtId="43" formatCode="_ * #,##0.00_ ;_ * \-#,##0.00_ ;_ * &quot;-&quot;??_ ;_ @_ "/>
    <numFmt numFmtId="178" formatCode="0.0_ "/>
    <numFmt numFmtId="179" formatCode="0_ "/>
    <numFmt numFmtId="180" formatCode="#,##0.00_ "/>
    <numFmt numFmtId="181" formatCode="_-* #,##0.00_-;\-* #,##0.00_-;_-* &quot;-&quot;??_-;_-@_-"/>
    <numFmt numFmtId="182" formatCode="_ * #,##0.00_ ;_ * \-#,##0.00_ ;_ * &quot;-&quot;_ ;_ @_ "/>
    <numFmt numFmtId="183" formatCode="_-* #,##0.0_-;\-* #,##0.0_-;_-* &quot;-&quot;??_-;_-@_-"/>
    <numFmt numFmtId="44" formatCode="_ &quot;￥&quot;* #,##0.00_ ;_ &quot;￥&quot;* \-#,##0.00_ ;_ &quot;￥&quot;* &quot;-&quot;??_ ;_ @_ "/>
    <numFmt numFmtId="184" formatCode="#,##0_ "/>
    <numFmt numFmtId="41" formatCode="_ * #,##0_ ;_ * \-#,##0_ ;_ * &quot;-&quot;_ ;_ @_ "/>
    <numFmt numFmtId="185" formatCode="0_);[Red]\(0\)"/>
    <numFmt numFmtId="42" formatCode="_ &quot;￥&quot;* #,##0_ ;_ &quot;￥&quot;* \-#,##0_ ;_ &quot;￥&quot;* &quot;-&quot;_ ;_ @_ "/>
    <numFmt numFmtId="186" formatCode="#,##0.0000_ "/>
    <numFmt numFmtId="187" formatCode="0.00_);[Red]\(0.00\)"/>
  </numFmts>
  <fonts count="6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  <scheme val="minor"/>
    </font>
    <font>
      <sz val="10"/>
      <name val="仿宋_GB2312"/>
      <charset val="134"/>
    </font>
    <font>
      <sz val="10"/>
      <name val="Times New Roman"/>
      <charset val="134"/>
    </font>
    <font>
      <b/>
      <sz val="10"/>
      <color indexed="8"/>
      <name val="Times New Roman"/>
      <charset val="134"/>
    </font>
    <font>
      <b/>
      <sz val="10"/>
      <name val="仿宋_GB2312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Times New Roman"/>
      <charset val="134"/>
    </font>
    <font>
      <sz val="10"/>
      <color theme="1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name val="微软雅黑"/>
      <charset val="134"/>
    </font>
    <font>
      <sz val="10.5"/>
      <name val="微软雅黑"/>
      <charset val="134"/>
    </font>
    <font>
      <sz val="10.5"/>
      <name val="宋体"/>
      <charset val="134"/>
    </font>
    <font>
      <b/>
      <sz val="10.5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C00000"/>
      <name val="微软雅黑"/>
      <charset val="134"/>
    </font>
    <font>
      <sz val="10"/>
      <color rgb="FFC00000"/>
      <name val="Times New Roman"/>
      <charset val="134"/>
    </font>
    <font>
      <sz val="12"/>
      <name val="微软雅黑"/>
      <charset val="134"/>
    </font>
    <font>
      <sz val="12"/>
      <color rgb="FFC00000"/>
      <name val="微软雅黑"/>
      <charset val="134"/>
    </font>
    <font>
      <sz val="14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b/>
      <i/>
      <sz val="10"/>
      <color rgb="FFFF0000"/>
      <name val="微软雅黑"/>
      <charset val="134"/>
    </font>
    <font>
      <sz val="9"/>
      <color theme="1"/>
      <name val="Arial"/>
      <charset val="134"/>
    </font>
    <font>
      <b/>
      <sz val="10"/>
      <color theme="1"/>
      <name val="仿宋_GB2312"/>
      <charset val="134"/>
    </font>
    <font>
      <b/>
      <sz val="12"/>
      <name val="仿宋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rgb="FF000000"/>
      <name val="Times New Roman"/>
      <charset val="134"/>
    </font>
    <font>
      <b/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599993896298105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5"/>
      </left>
      <right style="dotted">
        <color theme="4" tint="0.599993896298105"/>
      </right>
      <top style="dotted">
        <color theme="4" tint="0.599993896298105"/>
      </top>
      <bottom style="dotted">
        <color theme="4" tint="0.59999389629810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5" fillId="24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3" borderId="50" applyNumberFormat="0" applyFont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49" applyNumberFormat="0" applyFill="0" applyAlignment="0" applyProtection="0">
      <alignment vertical="center"/>
    </xf>
    <xf numFmtId="0" fontId="46" fillId="0" borderId="49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0" borderId="54" applyNumberFormat="0" applyFill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9" fillId="19" borderId="48" applyNumberFormat="0" applyAlignment="0" applyProtection="0">
      <alignment vertical="center"/>
    </xf>
    <xf numFmtId="0" fontId="49" fillId="19" borderId="51" applyNumberFormat="0" applyAlignment="0" applyProtection="0">
      <alignment vertical="center"/>
    </xf>
    <xf numFmtId="0" fontId="48" fillId="30" borderId="52" applyNumberFormat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6" fillId="0" borderId="55" applyNumberFormat="0" applyFill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9" fillId="0" borderId="0">
      <alignment vertical="center"/>
    </xf>
    <xf numFmtId="42" fontId="41" fillId="0" borderId="0" applyFont="0" applyFill="0" applyBorder="0" applyAlignment="0" applyProtection="0"/>
  </cellStyleXfs>
  <cellXfs count="372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50" applyNumberFormat="1" applyFont="1" applyFill="1" applyBorder="1" applyAlignment="1">
      <alignment horizontal="center" vertical="center"/>
    </xf>
    <xf numFmtId="41" fontId="3" fillId="2" borderId="2" xfId="50" applyNumberFormat="1" applyFont="1" applyFill="1" applyBorder="1" applyAlignment="1">
      <alignment horizontal="center" vertical="center"/>
    </xf>
    <xf numFmtId="179" fontId="3" fillId="2" borderId="1" xfId="50" applyNumberFormat="1" applyFont="1" applyFill="1" applyBorder="1" applyAlignment="1" applyProtection="1">
      <alignment horizontal="center" vertical="center"/>
      <protection locked="0"/>
    </xf>
    <xf numFmtId="41" fontId="4" fillId="0" borderId="3" xfId="8" applyNumberFormat="1" applyFont="1" applyFill="1" applyBorder="1" applyAlignment="1">
      <alignment horizontal="center" vertical="center" textRotation="255"/>
    </xf>
    <xf numFmtId="41" fontId="4" fillId="0" borderId="4" xfId="8" applyNumberFormat="1" applyFont="1" applyFill="1" applyBorder="1" applyAlignment="1">
      <alignment horizontal="left" vertical="center"/>
    </xf>
    <xf numFmtId="43" fontId="5" fillId="3" borderId="4" xfId="8" applyNumberFormat="1" applyFont="1" applyFill="1" applyBorder="1" applyAlignment="1" applyProtection="1"/>
    <xf numFmtId="41" fontId="4" fillId="0" borderId="5" xfId="8" applyNumberFormat="1" applyFont="1" applyFill="1" applyBorder="1" applyAlignment="1">
      <alignment horizontal="center" vertical="center" textRotation="255"/>
    </xf>
    <xf numFmtId="41" fontId="5" fillId="3" borderId="4" xfId="8" applyNumberFormat="1" applyFont="1" applyFill="1" applyBorder="1" applyAlignment="1" applyProtection="1"/>
    <xf numFmtId="41" fontId="4" fillId="0" borderId="6" xfId="8" applyNumberFormat="1" applyFont="1" applyFill="1" applyBorder="1" applyAlignment="1">
      <alignment horizontal="center" vertical="center" textRotation="255"/>
    </xf>
    <xf numFmtId="41" fontId="6" fillId="2" borderId="4" xfId="8" applyNumberFormat="1" applyFont="1" applyFill="1" applyBorder="1" applyAlignment="1" applyProtection="1">
      <alignment horizontal="right" wrapText="1"/>
    </xf>
    <xf numFmtId="41" fontId="4" fillId="0" borderId="3" xfId="8" applyNumberFormat="1" applyFont="1" applyBorder="1" applyAlignment="1">
      <alignment horizontal="center" vertical="top" textRotation="255" wrapText="1"/>
    </xf>
    <xf numFmtId="41" fontId="4" fillId="0" borderId="4" xfId="8" applyNumberFormat="1" applyFont="1" applyBorder="1" applyAlignment="1">
      <alignment horizontal="left" vertical="center" wrapText="1"/>
    </xf>
    <xf numFmtId="41" fontId="4" fillId="0" borderId="5" xfId="8" applyNumberFormat="1" applyFont="1" applyBorder="1" applyAlignment="1">
      <alignment horizontal="center" vertical="top" textRotation="255" wrapText="1"/>
    </xf>
    <xf numFmtId="41" fontId="4" fillId="0" borderId="6" xfId="8" applyNumberFormat="1" applyFont="1" applyBorder="1" applyAlignment="1">
      <alignment horizontal="center" vertical="top" textRotation="255" wrapText="1"/>
    </xf>
    <xf numFmtId="41" fontId="4" fillId="0" borderId="3" xfId="8" applyNumberFormat="1" applyFont="1" applyBorder="1" applyAlignment="1">
      <alignment horizontal="center" vertical="center" textRotation="255" wrapText="1"/>
    </xf>
    <xf numFmtId="41" fontId="4" fillId="0" borderId="5" xfId="8" applyNumberFormat="1" applyFont="1" applyBorder="1" applyAlignment="1">
      <alignment horizontal="center" vertical="center" textRotation="255" wrapText="1"/>
    </xf>
    <xf numFmtId="41" fontId="4" fillId="0" borderId="6" xfId="8" applyNumberFormat="1" applyFont="1" applyBorder="1" applyAlignment="1">
      <alignment horizontal="center" vertical="center" textRotation="255" wrapText="1"/>
    </xf>
    <xf numFmtId="41" fontId="7" fillId="2" borderId="4" xfId="8" applyNumberFormat="1" applyFont="1" applyFill="1" applyBorder="1" applyAlignment="1" applyProtection="1">
      <alignment horizontal="left" vertical="center"/>
    </xf>
    <xf numFmtId="41" fontId="6" fillId="2" borderId="4" xfId="8" applyNumberFormat="1" applyFont="1" applyFill="1" applyBorder="1" applyAlignment="1" applyProtection="1">
      <alignment horizontal="center" wrapText="1"/>
    </xf>
    <xf numFmtId="41" fontId="7" fillId="2" borderId="7" xfId="8" applyNumberFormat="1" applyFont="1" applyFill="1" applyBorder="1" applyAlignment="1">
      <alignment horizontal="left" vertical="center"/>
    </xf>
    <xf numFmtId="41" fontId="7" fillId="2" borderId="8" xfId="8" applyNumberFormat="1" applyFont="1" applyFill="1" applyBorder="1" applyAlignment="1">
      <alignment horizontal="left" vertical="center"/>
    </xf>
    <xf numFmtId="41" fontId="7" fillId="2" borderId="7" xfId="8" applyNumberFormat="1" applyFont="1" applyFill="1" applyBorder="1" applyAlignment="1" applyProtection="1">
      <alignment horizontal="left" vertical="center"/>
    </xf>
    <xf numFmtId="41" fontId="8" fillId="2" borderId="1" xfId="50" applyNumberFormat="1" applyFont="1" applyFill="1" applyBorder="1" applyAlignment="1">
      <alignment horizontal="center" vertical="center"/>
    </xf>
    <xf numFmtId="41" fontId="8" fillId="2" borderId="2" xfId="50" applyNumberFormat="1" applyFont="1" applyFill="1" applyBorder="1" applyAlignment="1">
      <alignment horizontal="center" vertical="center"/>
    </xf>
    <xf numFmtId="179" fontId="8" fillId="2" borderId="1" xfId="50" applyNumberFormat="1" applyFont="1" applyFill="1" applyBorder="1" applyAlignment="1" applyProtection="1">
      <alignment horizontal="center" vertical="center"/>
      <protection locked="0"/>
    </xf>
    <xf numFmtId="58" fontId="0" fillId="0" borderId="0" xfId="0" applyNumberFormat="1" applyFont="1">
      <alignment vertical="center"/>
    </xf>
    <xf numFmtId="41" fontId="4" fillId="0" borderId="9" xfId="8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9" fontId="3" fillId="4" borderId="1" xfId="50" applyNumberFormat="1" applyFont="1" applyFill="1" applyBorder="1" applyAlignment="1" applyProtection="1">
      <alignment horizontal="center" vertical="center"/>
      <protection locked="0"/>
    </xf>
    <xf numFmtId="179" fontId="8" fillId="4" borderId="1" xfId="50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8" applyNumberFormat="1" applyFont="1" applyBorder="1" applyAlignment="1">
      <alignment horizontal="left" vertical="center" wrapText="1"/>
    </xf>
    <xf numFmtId="41" fontId="7" fillId="2" borderId="11" xfId="8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9" fontId="9" fillId="5" borderId="0" xfId="0" applyNumberFormat="1" applyFont="1" applyFill="1" applyAlignment="1" applyProtection="1">
      <alignment horizontal="center" vertical="center"/>
      <protection locked="0"/>
    </xf>
    <xf numFmtId="179" fontId="6" fillId="6" borderId="4" xfId="11" applyNumberFormat="1" applyFont="1" applyFill="1" applyBorder="1" applyAlignment="1" applyProtection="1">
      <alignment horizontal="center" wrapText="1"/>
      <protection hidden="1"/>
    </xf>
    <xf numFmtId="179" fontId="0" fillId="6" borderId="4" xfId="11" applyNumberFormat="1" applyFont="1" applyFill="1" applyBorder="1" applyAlignment="1" applyProtection="1">
      <alignment horizontal="center" wrapText="1"/>
      <protection hidden="1"/>
    </xf>
    <xf numFmtId="179" fontId="10" fillId="3" borderId="12" xfId="0" applyNumberFormat="1" applyFont="1" applyFill="1" applyBorder="1" applyAlignment="1" applyProtection="1">
      <alignment horizontal="center"/>
      <protection hidden="1"/>
    </xf>
    <xf numFmtId="179" fontId="5" fillId="3" borderId="12" xfId="0" applyNumberFormat="1" applyFont="1" applyFill="1" applyBorder="1" applyAlignment="1" applyProtection="1">
      <alignment horizontal="center"/>
      <protection hidden="1"/>
    </xf>
    <xf numFmtId="179" fontId="11" fillId="0" borderId="13" xfId="0" applyNumberFormat="1" applyFont="1" applyBorder="1" applyAlignment="1" applyProtection="1">
      <alignment horizontal="center" vertical="center"/>
      <protection hidden="1"/>
    </xf>
    <xf numFmtId="179" fontId="12" fillId="6" borderId="12" xfId="0" applyNumberFormat="1" applyFont="1" applyFill="1" applyBorder="1" applyAlignment="1" applyProtection="1">
      <alignment horizontal="center"/>
      <protection hidden="1"/>
    </xf>
    <xf numFmtId="179" fontId="13" fillId="6" borderId="12" xfId="0" applyNumberFormat="1" applyFont="1" applyFill="1" applyBorder="1" applyAlignment="1" applyProtection="1">
      <alignment horizontal="center"/>
      <protection hidden="1"/>
    </xf>
    <xf numFmtId="179" fontId="12" fillId="7" borderId="3" xfId="0" applyNumberFormat="1" applyFont="1" applyFill="1" applyBorder="1" applyAlignment="1" applyProtection="1">
      <alignment horizontal="center"/>
      <protection hidden="1"/>
    </xf>
    <xf numFmtId="179" fontId="13" fillId="7" borderId="3" xfId="0" applyNumberFormat="1" applyFont="1" applyFill="1" applyBorder="1" applyAlignment="1" applyProtection="1">
      <alignment horizontal="center"/>
      <protection hidden="1"/>
    </xf>
    <xf numFmtId="179" fontId="12" fillId="2" borderId="14" xfId="0" applyNumberFormat="1" applyFont="1" applyFill="1" applyBorder="1" applyAlignment="1" applyProtection="1">
      <alignment horizontal="center"/>
      <protection hidden="1"/>
    </xf>
    <xf numFmtId="179" fontId="13" fillId="2" borderId="14" xfId="0" applyNumberFormat="1" applyFont="1" applyFill="1" applyBorder="1" applyAlignment="1" applyProtection="1">
      <alignment horizontal="center"/>
      <protection hidden="1"/>
    </xf>
    <xf numFmtId="179" fontId="0" fillId="0" borderId="0" xfId="0" applyNumberFormat="1" applyAlignment="1" applyProtection="1">
      <alignment horizontal="center" vertical="center"/>
      <protection locked="0"/>
    </xf>
    <xf numFmtId="179" fontId="0" fillId="0" borderId="0" xfId="0" applyNumberFormat="1" applyFont="1" applyAlignment="1" applyProtection="1">
      <alignment horizontal="center" vertical="center"/>
      <protection locked="0"/>
    </xf>
    <xf numFmtId="179" fontId="12" fillId="6" borderId="12" xfId="0" applyNumberFormat="1" applyFont="1" applyFill="1" applyBorder="1" applyAlignment="1" applyProtection="1">
      <alignment horizontal="center"/>
      <protection locked="0"/>
    </xf>
    <xf numFmtId="179" fontId="13" fillId="6" borderId="12" xfId="0" applyNumberFormat="1" applyFont="1" applyFill="1" applyBorder="1" applyAlignment="1" applyProtection="1">
      <alignment horizontal="center"/>
      <protection locked="0"/>
    </xf>
    <xf numFmtId="179" fontId="12" fillId="2" borderId="14" xfId="0" applyNumberFormat="1" applyFont="1" applyFill="1" applyBorder="1" applyAlignment="1" applyProtection="1">
      <alignment horizontal="center"/>
      <protection locked="0"/>
    </xf>
    <xf numFmtId="179" fontId="13" fillId="2" borderId="14" xfId="0" applyNumberFormat="1" applyFont="1" applyFill="1" applyBorder="1" applyAlignment="1" applyProtection="1">
      <alignment horizontal="center"/>
      <protection locked="0"/>
    </xf>
    <xf numFmtId="41" fontId="14" fillId="8" borderId="0" xfId="0" applyNumberFormat="1" applyFont="1" applyFill="1">
      <alignment vertical="center"/>
    </xf>
    <xf numFmtId="43" fontId="4" fillId="0" borderId="13" xfId="8" applyNumberFormat="1" applyFont="1" applyBorder="1" applyAlignment="1">
      <alignment horizontal="center"/>
    </xf>
    <xf numFmtId="43" fontId="5" fillId="0" borderId="4" xfId="8" applyNumberFormat="1" applyFont="1" applyFill="1" applyBorder="1" applyAlignment="1" applyProtection="1"/>
    <xf numFmtId="176" fontId="5" fillId="3" borderId="12" xfId="0" applyNumberFormat="1" applyFont="1" applyFill="1" applyBorder="1" applyAlignment="1" applyProtection="1">
      <alignment horizontal="center"/>
      <protection hidden="1"/>
    </xf>
    <xf numFmtId="41" fontId="0" fillId="0" borderId="0" xfId="0" applyNumberFormat="1" applyFont="1">
      <alignment vertical="center"/>
    </xf>
    <xf numFmtId="43" fontId="4" fillId="9" borderId="0" xfId="8" applyNumberFormat="1" applyFont="1" applyFill="1" applyAlignment="1">
      <alignment horizontal="right"/>
    </xf>
    <xf numFmtId="43" fontId="4" fillId="0" borderId="0" xfId="8" applyNumberFormat="1" applyFont="1" applyAlignment="1">
      <alignment horizontal="center"/>
    </xf>
    <xf numFmtId="43" fontId="4" fillId="0" borderId="0" xfId="8" applyNumberFormat="1" applyFont="1" applyAlignment="1">
      <alignment horizontal="right"/>
    </xf>
    <xf numFmtId="43" fontId="4" fillId="0" borderId="15" xfId="8" applyNumberFormat="1" applyFont="1" applyBorder="1" applyAlignment="1">
      <alignment horizontal="right"/>
    </xf>
    <xf numFmtId="43" fontId="4" fillId="0" borderId="16" xfId="8" applyNumberFormat="1" applyFont="1" applyBorder="1" applyAlignment="1">
      <alignment horizontal="right" vertical="center" wrapText="1"/>
    </xf>
    <xf numFmtId="180" fontId="11" fillId="0" borderId="16" xfId="0" applyNumberFormat="1" applyFont="1" applyBorder="1" applyAlignment="1">
      <alignment horizontal="right" vertical="center"/>
    </xf>
    <xf numFmtId="43" fontId="4" fillId="0" borderId="16" xfId="8" applyNumberFormat="1" applyFont="1" applyBorder="1" applyAlignment="1">
      <alignment horizontal="center"/>
    </xf>
    <xf numFmtId="43" fontId="4" fillId="0" borderId="17" xfId="8" applyNumberFormat="1" applyFont="1" applyBorder="1" applyAlignment="1">
      <alignment horizontal="right"/>
    </xf>
    <xf numFmtId="43" fontId="4" fillId="9" borderId="13" xfId="8" applyNumberFormat="1" applyFont="1" applyFill="1" applyBorder="1" applyAlignment="1">
      <alignment horizontal="center"/>
    </xf>
    <xf numFmtId="43" fontId="4" fillId="9" borderId="17" xfId="8" applyNumberFormat="1" applyFont="1" applyFill="1" applyBorder="1" applyAlignment="1">
      <alignment horizontal="right"/>
    </xf>
    <xf numFmtId="43" fontId="4" fillId="9" borderId="18" xfId="8" applyNumberFormat="1" applyFont="1" applyFill="1" applyBorder="1" applyAlignment="1">
      <alignment horizontal="center"/>
    </xf>
    <xf numFmtId="43" fontId="4" fillId="9" borderId="19" xfId="8" applyNumberFormat="1" applyFont="1" applyFill="1" applyBorder="1" applyAlignment="1">
      <alignment horizontal="right"/>
    </xf>
    <xf numFmtId="43" fontId="4" fillId="0" borderId="16" xfId="8" applyNumberFormat="1" applyFont="1" applyBorder="1" applyAlignment="1">
      <alignment horizontal="right"/>
    </xf>
    <xf numFmtId="43" fontId="4" fillId="0" borderId="20" xfId="8" applyNumberFormat="1" applyFont="1" applyBorder="1" applyAlignment="1">
      <alignment horizontal="right"/>
    </xf>
    <xf numFmtId="43" fontId="4" fillId="9" borderId="21" xfId="8" applyNumberFormat="1" applyFont="1" applyFill="1" applyBorder="1" applyAlignment="1">
      <alignment horizontal="right"/>
    </xf>
    <xf numFmtId="43" fontId="4" fillId="9" borderId="22" xfId="8" applyNumberFormat="1" applyFont="1" applyFill="1" applyBorder="1" applyAlignment="1">
      <alignment horizontal="right"/>
    </xf>
    <xf numFmtId="43" fontId="4" fillId="0" borderId="21" xfId="8" applyNumberFormat="1" applyFont="1" applyBorder="1" applyAlignment="1">
      <alignment horizontal="right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14" fontId="16" fillId="0" borderId="0" xfId="0" applyNumberFormat="1" applyFont="1" applyBorder="1" applyAlignment="1">
      <alignment horizontal="left" vertical="center"/>
    </xf>
    <xf numFmtId="2" fontId="17" fillId="0" borderId="0" xfId="0" applyNumberFormat="1" applyFont="1" applyBorder="1" applyAlignment="1">
      <alignment horizontal="left" vertical="center"/>
    </xf>
    <xf numFmtId="10" fontId="18" fillId="0" borderId="0" xfId="11" applyNumberFormat="1" applyFont="1" applyBorder="1" applyAlignment="1">
      <alignment horizontal="center" vertical="center"/>
    </xf>
    <xf numFmtId="2" fontId="18" fillId="10" borderId="23" xfId="0" applyNumberFormat="1" applyFont="1" applyFill="1" applyBorder="1" applyAlignment="1">
      <alignment horizontal="center" vertical="center"/>
    </xf>
    <xf numFmtId="4" fontId="18" fillId="10" borderId="23" xfId="0" applyNumberFormat="1" applyFont="1" applyFill="1" applyBorder="1" applyAlignment="1">
      <alignment horizontal="center" vertical="center"/>
    </xf>
    <xf numFmtId="4" fontId="16" fillId="0" borderId="23" xfId="0" applyNumberFormat="1" applyFont="1" applyBorder="1" applyAlignment="1">
      <alignment horizontal="right" vertical="center"/>
    </xf>
    <xf numFmtId="184" fontId="18" fillId="10" borderId="24" xfId="0" applyNumberFormat="1" applyFont="1" applyFill="1" applyBorder="1" applyAlignment="1">
      <alignment horizontal="center" vertical="center"/>
    </xf>
    <xf numFmtId="184" fontId="16" fillId="10" borderId="24" xfId="0" applyNumberFormat="1" applyFont="1" applyFill="1" applyBorder="1" applyAlignment="1">
      <alignment horizontal="right" vertical="center"/>
    </xf>
    <xf numFmtId="184" fontId="16" fillId="0" borderId="25" xfId="0" applyNumberFormat="1" applyFont="1" applyFill="1" applyBorder="1" applyAlignment="1">
      <alignment horizontal="left" vertical="center"/>
    </xf>
    <xf numFmtId="184" fontId="16" fillId="0" borderId="25" xfId="0" applyNumberFormat="1" applyFont="1" applyFill="1" applyBorder="1" applyAlignment="1">
      <alignment horizontal="right" vertical="center"/>
    </xf>
    <xf numFmtId="0" fontId="19" fillId="0" borderId="0" xfId="0" applyFont="1">
      <alignment vertical="center"/>
    </xf>
    <xf numFmtId="10" fontId="0" fillId="0" borderId="0" xfId="11" applyNumberFormat="1" applyFont="1">
      <alignment vertical="center"/>
    </xf>
    <xf numFmtId="184" fontId="0" fillId="0" borderId="0" xfId="0" applyNumberFormat="1" applyAlignment="1">
      <alignment horizontal="center" vertical="center"/>
    </xf>
    <xf numFmtId="10" fontId="0" fillId="0" borderId="0" xfId="11" applyNumberFormat="1" applyFont="1" applyAlignment="1">
      <alignment horizontal="center" vertical="center"/>
    </xf>
    <xf numFmtId="2" fontId="16" fillId="0" borderId="0" xfId="0" applyNumberFormat="1" applyFont="1" applyBorder="1" applyAlignment="1">
      <alignment horizontal="left" vertical="center"/>
    </xf>
    <xf numFmtId="0" fontId="20" fillId="11" borderId="0" xfId="0" applyFont="1" applyFill="1" applyProtection="1">
      <alignment vertical="center"/>
      <protection locked="0"/>
    </xf>
    <xf numFmtId="0" fontId="21" fillId="0" borderId="0" xfId="0" applyFont="1" applyFill="1" applyProtection="1">
      <alignment vertical="center"/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0" fillId="8" borderId="0" xfId="0" applyFont="1" applyFill="1" applyProtection="1">
      <alignment vertical="center"/>
      <protection locked="0"/>
    </xf>
    <xf numFmtId="0" fontId="20" fillId="12" borderId="0" xfId="0" applyFont="1" applyFill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49" fontId="20" fillId="0" borderId="0" xfId="0" applyNumberFormat="1" applyFont="1" applyFill="1" applyProtection="1">
      <alignment vertical="center"/>
      <protection locked="0"/>
    </xf>
    <xf numFmtId="49" fontId="22" fillId="0" borderId="0" xfId="0" applyNumberFormat="1" applyFont="1" applyFill="1" applyProtection="1">
      <alignment vertical="center"/>
      <protection locked="0"/>
    </xf>
    <xf numFmtId="0" fontId="20" fillId="0" borderId="0" xfId="0" applyFont="1" applyFill="1" applyProtection="1">
      <alignment vertical="center"/>
      <protection locked="0"/>
    </xf>
    <xf numFmtId="0" fontId="20" fillId="0" borderId="0" xfId="0" applyFont="1" applyFill="1" applyAlignment="1" applyProtection="1">
      <alignment horizontal="left" vertical="center"/>
      <protection locked="0"/>
    </xf>
    <xf numFmtId="49" fontId="20" fillId="0" borderId="0" xfId="0" applyNumberFormat="1" applyFont="1" applyFill="1" applyAlignment="1" applyProtection="1">
      <alignment vertical="center"/>
      <protection locked="0"/>
    </xf>
    <xf numFmtId="0" fontId="22" fillId="0" borderId="0" xfId="0" applyFont="1" applyFill="1" applyProtection="1">
      <alignment vertical="center"/>
      <protection locked="0"/>
    </xf>
    <xf numFmtId="49" fontId="23" fillId="0" borderId="0" xfId="0" applyNumberFormat="1" applyFont="1" applyFill="1" applyProtection="1">
      <alignment vertical="center"/>
      <protection locked="0"/>
    </xf>
    <xf numFmtId="49" fontId="24" fillId="0" borderId="0" xfId="0" applyNumberFormat="1" applyFont="1" applyFill="1" applyAlignment="1" applyProtection="1">
      <alignment vertical="center"/>
      <protection locked="0"/>
    </xf>
    <xf numFmtId="49" fontId="25" fillId="0" borderId="0" xfId="0" applyNumberFormat="1" applyFont="1" applyFill="1" applyAlignment="1" applyProtection="1">
      <alignment vertical="center"/>
      <protection locked="0"/>
    </xf>
    <xf numFmtId="187" fontId="24" fillId="0" borderId="0" xfId="0" applyNumberFormat="1" applyFont="1" applyFill="1" applyAlignment="1" applyProtection="1">
      <alignment vertical="center"/>
      <protection locked="0"/>
    </xf>
    <xf numFmtId="187" fontId="22" fillId="0" borderId="0" xfId="0" applyNumberFormat="1" applyFont="1" applyFill="1" applyProtection="1">
      <alignment vertical="center"/>
      <protection locked="0"/>
    </xf>
    <xf numFmtId="187" fontId="20" fillId="0" borderId="0" xfId="0" applyNumberFormat="1" applyFont="1" applyFill="1" applyAlignment="1" applyProtection="1">
      <alignment vertical="center"/>
      <protection locked="0"/>
    </xf>
    <xf numFmtId="49" fontId="26" fillId="0" borderId="26" xfId="0" applyNumberFormat="1" applyFont="1" applyFill="1" applyBorder="1" applyAlignment="1" applyProtection="1">
      <alignment horizontal="center" vertical="center"/>
      <protection locked="0"/>
    </xf>
    <xf numFmtId="43" fontId="20" fillId="0" borderId="27" xfId="50" applyNumberFormat="1" applyFont="1" applyFill="1" applyBorder="1" applyAlignment="1" applyProtection="1">
      <alignment horizontal="center" vertical="center"/>
      <protection locked="0"/>
    </xf>
    <xf numFmtId="43" fontId="20" fillId="0" borderId="28" xfId="50" applyNumberFormat="1" applyFont="1" applyFill="1" applyBorder="1" applyAlignment="1" applyProtection="1">
      <alignment horizontal="center" vertical="center"/>
      <protection locked="0"/>
    </xf>
    <xf numFmtId="9" fontId="20" fillId="0" borderId="4" xfId="11" applyFont="1" applyFill="1" applyBorder="1" applyAlignment="1" applyProtection="1">
      <alignment horizontal="left" wrapText="1"/>
      <protection locked="0"/>
    </xf>
    <xf numFmtId="185" fontId="22" fillId="0" borderId="4" xfId="11" applyNumberFormat="1" applyFont="1" applyFill="1" applyBorder="1" applyAlignment="1" applyProtection="1">
      <alignment horizontal="left" wrapText="1"/>
      <protection locked="0"/>
    </xf>
    <xf numFmtId="185" fontId="20" fillId="0" borderId="4" xfId="11" applyNumberFormat="1" applyFont="1" applyFill="1" applyBorder="1" applyAlignment="1" applyProtection="1">
      <alignment horizontal="left" wrapText="1"/>
      <protection locked="0"/>
    </xf>
    <xf numFmtId="185" fontId="20" fillId="0" borderId="9" xfId="11" applyNumberFormat="1" applyFont="1" applyFill="1" applyBorder="1" applyAlignment="1" applyProtection="1">
      <alignment horizontal="left" wrapText="1"/>
      <protection locked="0"/>
    </xf>
    <xf numFmtId="181" fontId="22" fillId="0" borderId="4" xfId="11" applyNumberFormat="1" applyFont="1" applyFill="1" applyBorder="1" applyAlignment="1" applyProtection="1">
      <alignment horizontal="left" wrapText="1"/>
      <protection locked="0"/>
    </xf>
    <xf numFmtId="49" fontId="20" fillId="0" borderId="4" xfId="8" applyNumberFormat="1" applyFont="1" applyFill="1" applyBorder="1" applyAlignment="1" applyProtection="1">
      <protection locked="0"/>
    </xf>
    <xf numFmtId="181" fontId="22" fillId="0" borderId="29" xfId="0" applyNumberFormat="1" applyFont="1" applyFill="1" applyBorder="1" applyAlignment="1" applyProtection="1">
      <protection locked="0"/>
    </xf>
    <xf numFmtId="181" fontId="20" fillId="0" borderId="4" xfId="8" applyNumberFormat="1" applyFont="1" applyFill="1" applyBorder="1" applyAlignment="1" applyProtection="1">
      <protection locked="0"/>
    </xf>
    <xf numFmtId="181" fontId="22" fillId="8" borderId="29" xfId="0" applyNumberFormat="1" applyFont="1" applyFill="1" applyBorder="1" applyAlignment="1" applyProtection="1">
      <protection locked="0"/>
    </xf>
    <xf numFmtId="181" fontId="27" fillId="8" borderId="4" xfId="8" applyNumberFormat="1" applyFont="1" applyFill="1" applyBorder="1" applyAlignment="1" applyProtection="1">
      <protection locked="0"/>
    </xf>
    <xf numFmtId="181" fontId="28" fillId="0" borderId="30" xfId="0" applyNumberFormat="1" applyFont="1" applyFill="1" applyBorder="1" applyAlignment="1" applyProtection="1">
      <alignment wrapText="1"/>
      <protection locked="0"/>
    </xf>
    <xf numFmtId="43" fontId="20" fillId="0" borderId="0" xfId="0" applyNumberFormat="1" applyFont="1" applyFill="1" applyAlignment="1" applyProtection="1">
      <alignment vertical="center"/>
      <protection locked="0"/>
    </xf>
    <xf numFmtId="181" fontId="20" fillId="8" borderId="4" xfId="8" applyNumberFormat="1" applyFont="1" applyFill="1" applyBorder="1" applyAlignment="1" applyProtection="1">
      <protection locked="0"/>
    </xf>
    <xf numFmtId="181" fontId="20" fillId="0" borderId="4" xfId="8" applyNumberFormat="1" applyFont="1" applyFill="1" applyBorder="1" applyAlignment="1" applyProtection="1"/>
    <xf numFmtId="181" fontId="20" fillId="0" borderId="9" xfId="8" applyNumberFormat="1" applyFont="1" applyFill="1" applyBorder="1" applyAlignment="1" applyProtection="1">
      <protection locked="0"/>
    </xf>
    <xf numFmtId="49" fontId="20" fillId="11" borderId="4" xfId="8" applyNumberFormat="1" applyFont="1" applyFill="1" applyBorder="1" applyAlignment="1" applyProtection="1">
      <protection locked="0"/>
    </xf>
    <xf numFmtId="181" fontId="20" fillId="11" borderId="4" xfId="8" applyNumberFormat="1" applyFont="1" applyFill="1" applyBorder="1" applyAlignment="1" applyProtection="1">
      <protection locked="0"/>
    </xf>
    <xf numFmtId="181" fontId="20" fillId="11" borderId="31" xfId="0" applyNumberFormat="1" applyFont="1" applyFill="1" applyBorder="1" applyAlignment="1"/>
    <xf numFmtId="181" fontId="20" fillId="11" borderId="9" xfId="8" applyNumberFormat="1" applyFont="1" applyFill="1" applyBorder="1" applyAlignment="1" applyProtection="1">
      <protection locked="0"/>
    </xf>
    <xf numFmtId="181" fontId="20" fillId="0" borderId="32" xfId="0" applyNumberFormat="1" applyFont="1" applyFill="1" applyBorder="1" applyAlignment="1" applyProtection="1">
      <protection locked="0"/>
    </xf>
    <xf numFmtId="181" fontId="22" fillId="0" borderId="31" xfId="0" applyNumberFormat="1" applyFont="1" applyFill="1" applyBorder="1" applyAlignment="1" applyProtection="1">
      <protection locked="0"/>
    </xf>
    <xf numFmtId="181" fontId="22" fillId="0" borderId="4" xfId="8" applyNumberFormat="1" applyFont="1" applyFill="1" applyBorder="1" applyAlignment="1" applyProtection="1">
      <protection locked="0"/>
    </xf>
    <xf numFmtId="181" fontId="20" fillId="0" borderId="9" xfId="8" applyNumberFormat="1" applyFont="1" applyFill="1" applyBorder="1" applyAlignment="1" applyProtection="1"/>
    <xf numFmtId="181" fontId="22" fillId="0" borderId="4" xfId="8" applyNumberFormat="1" applyFont="1" applyFill="1" applyBorder="1" applyAlignment="1" applyProtection="1"/>
    <xf numFmtId="181" fontId="20" fillId="8" borderId="4" xfId="8" applyNumberFormat="1" applyFont="1" applyFill="1" applyBorder="1" applyAlignment="1" applyProtection="1"/>
    <xf numFmtId="181" fontId="27" fillId="0" borderId="29" xfId="8" applyFont="1" applyFill="1" applyBorder="1" applyAlignment="1" applyProtection="1">
      <protection locked="0"/>
    </xf>
    <xf numFmtId="181" fontId="29" fillId="0" borderId="4" xfId="8" applyNumberFormat="1" applyFont="1" applyFill="1" applyBorder="1" applyAlignment="1" applyProtection="1">
      <protection locked="0"/>
    </xf>
    <xf numFmtId="49" fontId="20" fillId="7" borderId="4" xfId="8" applyNumberFormat="1" applyFont="1" applyFill="1" applyBorder="1" applyAlignment="1" applyProtection="1">
      <protection locked="0"/>
    </xf>
    <xf numFmtId="49" fontId="20" fillId="13" borderId="4" xfId="8" applyNumberFormat="1" applyFont="1" applyFill="1" applyBorder="1" applyAlignment="1" applyProtection="1">
      <protection locked="0"/>
    </xf>
    <xf numFmtId="181" fontId="20" fillId="14" borderId="29" xfId="0" applyNumberFormat="1" applyFont="1" applyFill="1" applyBorder="1" applyAlignment="1" applyProtection="1">
      <protection locked="0"/>
    </xf>
    <xf numFmtId="181" fontId="20" fillId="13" borderId="4" xfId="8" applyNumberFormat="1" applyFont="1" applyFill="1" applyBorder="1" applyAlignment="1" applyProtection="1">
      <protection locked="0"/>
    </xf>
    <xf numFmtId="181" fontId="20" fillId="14" borderId="0" xfId="0" applyNumberFormat="1" applyFont="1" applyFill="1" applyBorder="1" applyAlignment="1" applyProtection="1">
      <protection locked="0"/>
    </xf>
    <xf numFmtId="181" fontId="20" fillId="13" borderId="9" xfId="8" applyNumberFormat="1" applyFont="1" applyFill="1" applyBorder="1" applyAlignment="1" applyProtection="1">
      <protection locked="0"/>
    </xf>
    <xf numFmtId="176" fontId="20" fillId="0" borderId="0" xfId="0" applyNumberFormat="1" applyFont="1" applyFill="1" applyAlignment="1" applyProtection="1">
      <alignment vertical="center"/>
      <protection locked="0"/>
    </xf>
    <xf numFmtId="181" fontId="20" fillId="11" borderId="9" xfId="8" applyNumberFormat="1" applyFont="1" applyFill="1" applyBorder="1" applyAlignment="1" applyProtection="1">
      <alignment wrapText="1"/>
      <protection locked="0"/>
    </xf>
    <xf numFmtId="49" fontId="20" fillId="11" borderId="0" xfId="0" applyNumberFormat="1" applyFont="1" applyFill="1" applyAlignment="1" applyProtection="1">
      <alignment vertical="center"/>
      <protection locked="0"/>
    </xf>
    <xf numFmtId="187" fontId="20" fillId="12" borderId="0" xfId="0" applyNumberFormat="1" applyFont="1" applyFill="1" applyAlignment="1" applyProtection="1">
      <alignment vertical="center"/>
      <protection locked="0"/>
    </xf>
    <xf numFmtId="187" fontId="21" fillId="12" borderId="0" xfId="0" applyNumberFormat="1" applyFont="1" applyFill="1" applyAlignment="1" applyProtection="1">
      <alignment vertical="center"/>
      <protection locked="0"/>
    </xf>
    <xf numFmtId="0" fontId="21" fillId="0" borderId="0" xfId="0" applyFont="1" applyFill="1">
      <alignment vertical="center"/>
    </xf>
    <xf numFmtId="187" fontId="21" fillId="0" borderId="0" xfId="0" applyNumberFormat="1" applyFont="1" applyFill="1" applyAlignment="1" applyProtection="1">
      <alignment vertical="center"/>
      <protection locked="0"/>
    </xf>
    <xf numFmtId="180" fontId="21" fillId="0" borderId="0" xfId="0" applyNumberFormat="1" applyFont="1" applyFill="1" applyAlignment="1" applyProtection="1">
      <alignment vertical="center"/>
      <protection locked="0"/>
    </xf>
    <xf numFmtId="0" fontId="30" fillId="0" borderId="0" xfId="0" applyFont="1">
      <alignment vertical="center"/>
    </xf>
    <xf numFmtId="181" fontId="20" fillId="7" borderId="4" xfId="8" applyNumberFormat="1" applyFont="1" applyFill="1" applyBorder="1" applyAlignment="1" applyProtection="1">
      <protection locked="0"/>
    </xf>
    <xf numFmtId="49" fontId="20" fillId="7" borderId="0" xfId="0" applyNumberFormat="1" applyFont="1" applyFill="1" applyAlignment="1" applyProtection="1">
      <alignment vertical="center"/>
      <protection locked="0"/>
    </xf>
    <xf numFmtId="181" fontId="20" fillId="7" borderId="9" xfId="8" applyNumberFormat="1" applyFont="1" applyFill="1" applyBorder="1" applyAlignment="1" applyProtection="1">
      <protection locked="0"/>
    </xf>
    <xf numFmtId="9" fontId="20" fillId="8" borderId="4" xfId="11" applyFont="1" applyFill="1" applyBorder="1" applyAlignment="1" applyProtection="1">
      <alignment horizontal="left" wrapText="1"/>
      <protection locked="0"/>
    </xf>
    <xf numFmtId="181" fontId="22" fillId="8" borderId="4" xfId="11" applyNumberFormat="1" applyFont="1" applyFill="1" applyBorder="1" applyAlignment="1" applyProtection="1">
      <alignment horizontal="left" wrapText="1"/>
      <protection locked="0"/>
    </xf>
    <xf numFmtId="181" fontId="20" fillId="8" borderId="4" xfId="11" applyNumberFormat="1" applyFont="1" applyFill="1" applyBorder="1" applyAlignment="1" applyProtection="1">
      <alignment horizontal="left" wrapText="1"/>
      <protection locked="0"/>
    </xf>
    <xf numFmtId="185" fontId="20" fillId="8" borderId="9" xfId="11" applyNumberFormat="1" applyFont="1" applyFill="1" applyBorder="1" applyAlignment="1" applyProtection="1">
      <alignment horizontal="left" wrapText="1"/>
      <protection locked="0"/>
    </xf>
    <xf numFmtId="176" fontId="22" fillId="0" borderId="4" xfId="8" applyNumberFormat="1" applyFont="1" applyFill="1" applyBorder="1" applyAlignment="1" applyProtection="1">
      <protection locked="0"/>
    </xf>
    <xf numFmtId="0" fontId="20" fillId="0" borderId="4" xfId="0" applyFont="1" applyFill="1" applyBorder="1" applyProtection="1">
      <alignment vertical="center"/>
      <protection locked="0"/>
    </xf>
    <xf numFmtId="0" fontId="20" fillId="0" borderId="9" xfId="0" applyFont="1" applyFill="1" applyBorder="1" applyProtection="1">
      <alignment vertical="center"/>
      <protection locked="0"/>
    </xf>
    <xf numFmtId="43" fontId="20" fillId="0" borderId="9" xfId="0" applyNumberFormat="1" applyFont="1" applyFill="1" applyBorder="1" applyProtection="1">
      <alignment vertical="center"/>
      <protection locked="0"/>
    </xf>
    <xf numFmtId="0" fontId="21" fillId="0" borderId="4" xfId="0" applyFont="1" applyFill="1" applyBorder="1" applyProtection="1">
      <alignment vertical="center"/>
      <protection locked="0"/>
    </xf>
    <xf numFmtId="49" fontId="20" fillId="8" borderId="0" xfId="0" applyNumberFormat="1" applyFont="1" applyFill="1" applyAlignment="1" applyProtection="1">
      <alignment vertical="center"/>
      <protection locked="0"/>
    </xf>
    <xf numFmtId="0" fontId="21" fillId="0" borderId="9" xfId="0" applyFont="1" applyFill="1" applyBorder="1" applyProtection="1">
      <alignment vertical="center"/>
      <protection locked="0"/>
    </xf>
    <xf numFmtId="187" fontId="21" fillId="0" borderId="9" xfId="0" applyNumberFormat="1" applyFont="1" applyFill="1" applyBorder="1" applyProtection="1">
      <alignment vertical="center"/>
      <protection locked="0"/>
    </xf>
    <xf numFmtId="181" fontId="20" fillId="0" borderId="4" xfId="11" applyNumberFormat="1" applyFont="1" applyFill="1" applyBorder="1" applyAlignment="1" applyProtection="1">
      <alignment horizontal="left" wrapText="1"/>
      <protection locked="0"/>
    </xf>
    <xf numFmtId="181" fontId="20" fillId="0" borderId="9" xfId="11" applyNumberFormat="1" applyFont="1" applyFill="1" applyBorder="1" applyAlignment="1" applyProtection="1">
      <alignment horizontal="left" wrapText="1"/>
      <protection locked="0"/>
    </xf>
    <xf numFmtId="49" fontId="20" fillId="5" borderId="4" xfId="8" applyNumberFormat="1" applyFont="1" applyFill="1" applyBorder="1" applyAlignment="1" applyProtection="1">
      <protection locked="0"/>
    </xf>
    <xf numFmtId="181" fontId="22" fillId="5" borderId="4" xfId="8" applyNumberFormat="1" applyFont="1" applyFill="1" applyBorder="1" applyAlignment="1" applyProtection="1">
      <protection locked="0"/>
    </xf>
    <xf numFmtId="181" fontId="20" fillId="5" borderId="4" xfId="8" applyNumberFormat="1" applyFont="1" applyFill="1" applyBorder="1" applyAlignment="1" applyProtection="1">
      <protection locked="0"/>
    </xf>
    <xf numFmtId="181" fontId="20" fillId="5" borderId="9" xfId="8" applyNumberFormat="1" applyFont="1" applyFill="1" applyBorder="1" applyAlignment="1" applyProtection="1">
      <protection locked="0"/>
    </xf>
    <xf numFmtId="49" fontId="20" fillId="0" borderId="8" xfId="8" applyNumberFormat="1" applyFont="1" applyFill="1" applyBorder="1" applyAlignment="1" applyProtection="1">
      <protection locked="0"/>
    </xf>
    <xf numFmtId="181" fontId="20" fillId="0" borderId="8" xfId="8" applyNumberFormat="1" applyFont="1" applyFill="1" applyBorder="1" applyAlignment="1" applyProtection="1">
      <protection locked="0"/>
    </xf>
    <xf numFmtId="181" fontId="21" fillId="8" borderId="4" xfId="8" applyNumberFormat="1" applyFont="1" applyFill="1" applyBorder="1" applyAlignment="1" applyProtection="1">
      <protection locked="0"/>
    </xf>
    <xf numFmtId="49" fontId="20" fillId="12" borderId="4" xfId="8" applyNumberFormat="1" applyFont="1" applyFill="1" applyBorder="1" applyAlignment="1" applyProtection="1">
      <protection locked="0"/>
    </xf>
    <xf numFmtId="49" fontId="20" fillId="12" borderId="8" xfId="8" applyNumberFormat="1" applyFont="1" applyFill="1" applyBorder="1" applyAlignment="1" applyProtection="1">
      <protection locked="0"/>
    </xf>
    <xf numFmtId="181" fontId="20" fillId="12" borderId="4" xfId="8" applyNumberFormat="1" applyFont="1" applyFill="1" applyBorder="1" applyAlignment="1" applyProtection="1">
      <protection locked="0"/>
    </xf>
    <xf numFmtId="183" fontId="20" fillId="0" borderId="4" xfId="8" applyNumberFormat="1" applyFont="1" applyFill="1" applyBorder="1" applyAlignment="1" applyProtection="1">
      <protection locked="0"/>
    </xf>
    <xf numFmtId="181" fontId="20" fillId="0" borderId="33" xfId="8" applyNumberFormat="1" applyFont="1" applyFill="1" applyBorder="1" applyAlignment="1" applyProtection="1">
      <protection locked="0"/>
    </xf>
    <xf numFmtId="181" fontId="20" fillId="11" borderId="33" xfId="8" applyNumberFormat="1" applyFont="1" applyFill="1" applyBorder="1" applyAlignment="1" applyProtection="1">
      <protection locked="0"/>
    </xf>
    <xf numFmtId="181" fontId="20" fillId="12" borderId="33" xfId="8" applyNumberFormat="1" applyFont="1" applyFill="1" applyBorder="1" applyAlignment="1" applyProtection="1">
      <protection locked="0"/>
    </xf>
    <xf numFmtId="49" fontId="20" fillId="12" borderId="0" xfId="0" applyNumberFormat="1" applyFont="1" applyFill="1" applyAlignment="1" applyProtection="1">
      <alignment vertical="center"/>
      <protection locked="0"/>
    </xf>
    <xf numFmtId="181" fontId="27" fillId="0" borderId="4" xfId="8" applyNumberFormat="1" applyFont="1" applyFill="1" applyBorder="1" applyAlignment="1" applyProtection="1">
      <protection locked="0"/>
    </xf>
    <xf numFmtId="181" fontId="20" fillId="0" borderId="5" xfId="8" applyNumberFormat="1" applyFont="1" applyFill="1" applyBorder="1" applyAlignment="1" applyProtection="1">
      <protection locked="0"/>
    </xf>
    <xf numFmtId="181" fontId="20" fillId="0" borderId="0" xfId="8" applyNumberFormat="1" applyFont="1" applyFill="1" applyBorder="1" applyAlignment="1" applyProtection="1">
      <protection locked="0"/>
    </xf>
    <xf numFmtId="49" fontId="20" fillId="0" borderId="5" xfId="8" applyNumberFormat="1" applyFont="1" applyFill="1" applyBorder="1" applyAlignment="1" applyProtection="1">
      <protection locked="0"/>
    </xf>
    <xf numFmtId="181" fontId="20" fillId="8" borderId="8" xfId="8" applyNumberFormat="1" applyFont="1" applyFill="1" applyBorder="1" applyAlignment="1" applyProtection="1">
      <protection locked="0"/>
    </xf>
    <xf numFmtId="49" fontId="20" fillId="0" borderId="12" xfId="8" applyNumberFormat="1" applyFont="1" applyFill="1" applyBorder="1" applyAlignment="1" applyProtection="1">
      <protection locked="0"/>
    </xf>
    <xf numFmtId="181" fontId="20" fillId="0" borderId="4" xfId="8" applyFont="1" applyFill="1" applyBorder="1" applyAlignment="1" applyProtection="1">
      <protection locked="0"/>
    </xf>
    <xf numFmtId="0" fontId="20" fillId="0" borderId="34" xfId="0" applyFont="1" applyFill="1" applyBorder="1" applyAlignment="1" applyProtection="1">
      <alignment horizontal="left"/>
      <protection locked="0"/>
    </xf>
    <xf numFmtId="181" fontId="22" fillId="0" borderId="34" xfId="0" applyNumberFormat="1" applyFont="1" applyFill="1" applyBorder="1" applyAlignment="1" applyProtection="1">
      <alignment horizontal="left"/>
      <protection locked="0"/>
    </xf>
    <xf numFmtId="181" fontId="20" fillId="0" borderId="34" xfId="0" applyNumberFormat="1" applyFont="1" applyFill="1" applyBorder="1" applyAlignment="1" applyProtection="1">
      <alignment horizontal="left"/>
      <protection locked="0"/>
    </xf>
    <xf numFmtId="181" fontId="20" fillId="0" borderId="26" xfId="0" applyNumberFormat="1" applyFont="1" applyFill="1" applyBorder="1" applyAlignment="1" applyProtection="1">
      <alignment horizontal="left"/>
      <protection locked="0"/>
    </xf>
    <xf numFmtId="0" fontId="20" fillId="11" borderId="34" xfId="0" applyFont="1" applyFill="1" applyBorder="1" applyAlignment="1" applyProtection="1">
      <alignment horizontal="left"/>
      <protection locked="0"/>
    </xf>
    <xf numFmtId="181" fontId="20" fillId="11" borderId="26" xfId="0" applyNumberFormat="1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/>
      <protection locked="0"/>
    </xf>
    <xf numFmtId="181" fontId="22" fillId="11" borderId="0" xfId="0" applyNumberFormat="1" applyFont="1" applyFill="1" applyBorder="1" applyAlignment="1" applyProtection="1">
      <alignment horizontal="left"/>
      <protection locked="0"/>
    </xf>
    <xf numFmtId="181" fontId="20" fillId="11" borderId="0" xfId="0" applyNumberFormat="1" applyFont="1" applyFill="1" applyBorder="1" applyAlignment="1" applyProtection="1">
      <alignment horizontal="left"/>
      <protection locked="0"/>
    </xf>
    <xf numFmtId="181" fontId="20" fillId="11" borderId="0" xfId="8" applyNumberFormat="1" applyFont="1" applyFill="1" applyBorder="1" applyAlignment="1" applyProtection="1">
      <protection locked="0"/>
    </xf>
    <xf numFmtId="0" fontId="20" fillId="11" borderId="0" xfId="0" applyFont="1" applyFill="1" applyBorder="1" applyAlignment="1" applyProtection="1">
      <alignment horizontal="left"/>
      <protection locked="0"/>
    </xf>
    <xf numFmtId="49" fontId="20" fillId="0" borderId="0" xfId="8" applyNumberFormat="1" applyFont="1" applyFill="1" applyBorder="1" applyAlignment="1" applyProtection="1">
      <protection locked="0"/>
    </xf>
    <xf numFmtId="0" fontId="0" fillId="0" borderId="0" xfId="0" applyFont="1">
      <alignment vertical="center"/>
    </xf>
    <xf numFmtId="181" fontId="22" fillId="0" borderId="0" xfId="8" applyFont="1" applyFill="1" applyAlignment="1" applyProtection="1">
      <alignment horizontal="right" vertical="center"/>
      <protection locked="0"/>
    </xf>
    <xf numFmtId="181" fontId="20" fillId="0" borderId="0" xfId="0" applyNumberFormat="1" applyFont="1" applyFill="1" applyProtection="1">
      <alignment vertical="center"/>
      <protection locked="0"/>
    </xf>
    <xf numFmtId="49" fontId="20" fillId="7" borderId="3" xfId="8" applyNumberFormat="1" applyFont="1" applyFill="1" applyBorder="1" applyAlignment="1" applyProtection="1">
      <protection locked="0"/>
    </xf>
    <xf numFmtId="181" fontId="20" fillId="7" borderId="8" xfId="8" applyNumberFormat="1" applyFont="1" applyFill="1" applyBorder="1" applyAlignment="1" applyProtection="1">
      <protection locked="0"/>
    </xf>
    <xf numFmtId="181" fontId="20" fillId="15" borderId="4" xfId="8" applyNumberFormat="1" applyFont="1" applyFill="1" applyBorder="1" applyAlignment="1" applyProtection="1">
      <protection locked="0"/>
    </xf>
    <xf numFmtId="181" fontId="20" fillId="15" borderId="33" xfId="8" applyNumberFormat="1" applyFont="1" applyFill="1" applyBorder="1" applyAlignment="1" applyProtection="1">
      <protection locked="0"/>
    </xf>
    <xf numFmtId="181" fontId="20" fillId="0" borderId="3" xfId="11" applyNumberFormat="1" applyFont="1" applyFill="1" applyBorder="1" applyAlignment="1" applyProtection="1">
      <alignment horizontal="left" wrapText="1"/>
      <protection locked="0"/>
    </xf>
    <xf numFmtId="181" fontId="20" fillId="0" borderId="35" xfId="11" applyNumberFormat="1" applyFont="1" applyFill="1" applyBorder="1" applyAlignment="1" applyProtection="1">
      <alignment horizontal="left" wrapText="1"/>
      <protection locked="0"/>
    </xf>
    <xf numFmtId="181" fontId="20" fillId="0" borderId="0" xfId="0" applyNumberFormat="1" applyFont="1" applyFill="1" applyBorder="1" applyAlignment="1" applyProtection="1">
      <alignment horizontal="left"/>
      <protection locked="0"/>
    </xf>
    <xf numFmtId="187" fontId="20" fillId="5" borderId="0" xfId="0" applyNumberFormat="1" applyFont="1" applyFill="1" applyAlignment="1" applyProtection="1">
      <alignment vertical="center"/>
      <protection locked="0"/>
    </xf>
    <xf numFmtId="176" fontId="21" fillId="7" borderId="0" xfId="0" applyNumberFormat="1" applyFont="1" applyFill="1" applyAlignment="1" applyProtection="1">
      <alignment vertical="center"/>
      <protection locked="0"/>
    </xf>
    <xf numFmtId="49" fontId="21" fillId="7" borderId="0" xfId="0" applyNumberFormat="1" applyFont="1" applyFill="1" applyAlignment="1" applyProtection="1">
      <alignment vertical="center"/>
      <protection locked="0"/>
    </xf>
    <xf numFmtId="0" fontId="20" fillId="0" borderId="14" xfId="0" applyFont="1" applyFill="1" applyBorder="1" applyAlignment="1" applyProtection="1">
      <alignment horizontal="left"/>
      <protection locked="0"/>
    </xf>
    <xf numFmtId="0" fontId="22" fillId="0" borderId="14" xfId="0" applyFont="1" applyFill="1" applyBorder="1" applyAlignment="1" applyProtection="1">
      <alignment horizontal="left"/>
      <protection locked="0"/>
    </xf>
    <xf numFmtId="181" fontId="20" fillId="0" borderId="14" xfId="0" applyNumberFormat="1" applyFont="1" applyFill="1" applyBorder="1" applyAlignment="1" applyProtection="1">
      <alignment horizontal="left"/>
      <protection locked="0"/>
    </xf>
    <xf numFmtId="181" fontId="20" fillId="0" borderId="36" xfId="0" applyNumberFormat="1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43" fontId="22" fillId="0" borderId="5" xfId="0" applyNumberFormat="1" applyFont="1" applyFill="1" applyBorder="1" applyAlignment="1" applyProtection="1">
      <alignment horizontal="left"/>
      <protection locked="0"/>
    </xf>
    <xf numFmtId="181" fontId="20" fillId="0" borderId="5" xfId="0" applyNumberFormat="1" applyFont="1" applyFill="1" applyBorder="1" applyAlignment="1" applyProtection="1">
      <alignment horizontal="left"/>
      <protection locked="0"/>
    </xf>
    <xf numFmtId="181" fontId="24" fillId="0" borderId="5" xfId="0" applyNumberFormat="1" applyFont="1" applyFill="1" applyBorder="1" applyAlignment="1" applyProtection="1">
      <alignment horizontal="left"/>
      <protection locked="0"/>
    </xf>
    <xf numFmtId="0" fontId="22" fillId="0" borderId="5" xfId="0" applyFont="1" applyFill="1" applyBorder="1" applyAlignment="1" applyProtection="1">
      <alignment horizontal="left"/>
      <protection locked="0"/>
    </xf>
    <xf numFmtId="43" fontId="22" fillId="0" borderId="27" xfId="50" applyNumberFormat="1" applyFont="1" applyFill="1" applyBorder="1" applyAlignment="1" applyProtection="1">
      <alignment horizontal="center" vertical="center"/>
      <protection locked="0"/>
    </xf>
    <xf numFmtId="43" fontId="20" fillId="0" borderId="37" xfId="50" applyNumberFormat="1" applyFont="1" applyFill="1" applyBorder="1" applyAlignment="1" applyProtection="1">
      <alignment horizontal="center" vertical="center"/>
      <protection locked="0"/>
    </xf>
    <xf numFmtId="43" fontId="22" fillId="0" borderId="37" xfId="50" applyNumberFormat="1" applyFont="1" applyFill="1" applyBorder="1" applyAlignment="1" applyProtection="1">
      <alignment horizontal="center" vertical="center"/>
      <protection locked="0"/>
    </xf>
    <xf numFmtId="43" fontId="20" fillId="0" borderId="38" xfId="50" applyNumberFormat="1" applyFont="1" applyFill="1" applyBorder="1" applyAlignment="1" applyProtection="1">
      <alignment horizontal="center" vertical="center"/>
      <protection locked="0"/>
    </xf>
    <xf numFmtId="181" fontId="20" fillId="0" borderId="39" xfId="0" applyNumberFormat="1" applyFont="1" applyFill="1" applyBorder="1" applyAlignment="1" applyProtection="1">
      <protection locked="0"/>
    </xf>
    <xf numFmtId="181" fontId="21" fillId="0" borderId="4" xfId="8" applyNumberFormat="1" applyFont="1" applyFill="1" applyBorder="1" applyAlignment="1" applyProtection="1">
      <protection locked="0"/>
    </xf>
    <xf numFmtId="49" fontId="22" fillId="0" borderId="0" xfId="0" applyNumberFormat="1" applyFont="1" applyFill="1" applyAlignment="1" applyProtection="1">
      <alignment vertical="center"/>
      <protection locked="0"/>
    </xf>
    <xf numFmtId="181" fontId="20" fillId="0" borderId="29" xfId="0" applyNumberFormat="1" applyFont="1" applyFill="1" applyBorder="1" applyAlignment="1" applyProtection="1">
      <protection locked="0"/>
    </xf>
    <xf numFmtId="0" fontId="20" fillId="0" borderId="0" xfId="0" applyFont="1" applyFill="1" applyBorder="1" applyProtection="1">
      <alignment vertical="center"/>
      <protection locked="0"/>
    </xf>
    <xf numFmtId="43" fontId="4" fillId="16" borderId="0" xfId="8" applyNumberFormat="1" applyFont="1" applyFill="1" applyAlignment="1">
      <alignment horizontal="right"/>
    </xf>
    <xf numFmtId="43" fontId="4" fillId="7" borderId="0" xfId="8" applyNumberFormat="1" applyFont="1" applyFill="1" applyAlignment="1">
      <alignment horizontal="right"/>
    </xf>
    <xf numFmtId="43" fontId="4" fillId="16" borderId="40" xfId="8" applyNumberFormat="1" applyFont="1" applyFill="1" applyBorder="1" applyAlignment="1">
      <alignment horizontal="right"/>
    </xf>
    <xf numFmtId="57" fontId="4" fillId="0" borderId="0" xfId="8" applyNumberFormat="1" applyFont="1" applyAlignment="1">
      <alignment horizontal="center"/>
    </xf>
    <xf numFmtId="43" fontId="4" fillId="16" borderId="13" xfId="8" applyNumberFormat="1" applyFont="1" applyFill="1" applyBorder="1" applyAlignment="1">
      <alignment horizontal="center"/>
    </xf>
    <xf numFmtId="43" fontId="4" fillId="7" borderId="41" xfId="8" applyNumberFormat="1" applyFont="1" applyFill="1" applyBorder="1" applyAlignment="1">
      <alignment horizontal="center"/>
    </xf>
    <xf numFmtId="43" fontId="4" fillId="16" borderId="42" xfId="8" applyNumberFormat="1" applyFont="1" applyFill="1" applyBorder="1" applyAlignment="1">
      <alignment horizontal="center"/>
    </xf>
    <xf numFmtId="43" fontId="4" fillId="0" borderId="43" xfId="8" applyNumberFormat="1" applyFont="1" applyBorder="1" applyAlignment="1">
      <alignment horizontal="right"/>
    </xf>
    <xf numFmtId="43" fontId="4" fillId="0" borderId="0" xfId="8" applyNumberFormat="1" applyFont="1" applyBorder="1" applyAlignment="1">
      <alignment horizontal="right"/>
    </xf>
    <xf numFmtId="43" fontId="4" fillId="16" borderId="17" xfId="8" applyNumberFormat="1" applyFont="1" applyFill="1" applyBorder="1" applyAlignment="1">
      <alignment horizontal="right"/>
    </xf>
    <xf numFmtId="43" fontId="7" fillId="0" borderId="0" xfId="8" applyNumberFormat="1" applyFont="1" applyAlignment="1">
      <alignment horizontal="center"/>
    </xf>
    <xf numFmtId="43" fontId="4" fillId="7" borderId="44" xfId="8" applyNumberFormat="1" applyFont="1" applyFill="1" applyBorder="1" applyAlignment="1">
      <alignment horizontal="right"/>
    </xf>
    <xf numFmtId="43" fontId="4" fillId="16" borderId="45" xfId="8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180" fontId="0" fillId="0" borderId="16" xfId="0" applyNumberFormat="1" applyBorder="1" applyAlignment="1">
      <alignment vertical="center"/>
    </xf>
    <xf numFmtId="180" fontId="0" fillId="0" borderId="17" xfId="0" applyNumberFormat="1" applyBorder="1" applyAlignment="1">
      <alignment vertical="center"/>
    </xf>
    <xf numFmtId="180" fontId="0" fillId="0" borderId="19" xfId="0" applyNumberFormat="1" applyBorder="1" applyAlignment="1">
      <alignment vertical="center"/>
    </xf>
    <xf numFmtId="180" fontId="0" fillId="0" borderId="0" xfId="0" applyNumberFormat="1" applyAlignment="1">
      <alignment vertical="center"/>
    </xf>
    <xf numFmtId="57" fontId="31" fillId="0" borderId="0" xfId="0" applyNumberFormat="1" applyFont="1" applyAlignment="1">
      <alignment horizontal="left" vertical="center"/>
    </xf>
    <xf numFmtId="180" fontId="0" fillId="0" borderId="0" xfId="0" applyNumberFormat="1" applyFont="1" applyAlignment="1">
      <alignment horizontal="right" vertical="center"/>
    </xf>
    <xf numFmtId="180" fontId="0" fillId="0" borderId="15" xfId="0" applyNumberFormat="1" applyBorder="1" applyAlignment="1">
      <alignment vertical="center"/>
    </xf>
    <xf numFmtId="180" fontId="11" fillId="0" borderId="13" xfId="0" applyNumberFormat="1" applyFont="1" applyBorder="1" applyAlignment="1">
      <alignment vertical="center"/>
    </xf>
    <xf numFmtId="180" fontId="0" fillId="0" borderId="17" xfId="0" applyNumberFormat="1" applyFont="1" applyBorder="1" applyAlignment="1">
      <alignment vertical="center"/>
    </xf>
    <xf numFmtId="180" fontId="11" fillId="9" borderId="13" xfId="0" applyNumberFormat="1" applyFont="1" applyFill="1" applyBorder="1" applyAlignment="1">
      <alignment vertical="center"/>
    </xf>
    <xf numFmtId="186" fontId="0" fillId="9" borderId="17" xfId="0" applyNumberFormat="1" applyFill="1" applyBorder="1" applyAlignment="1">
      <alignment vertical="center"/>
    </xf>
    <xf numFmtId="186" fontId="0" fillId="0" borderId="17" xfId="0" applyNumberFormat="1" applyBorder="1" applyAlignment="1">
      <alignment vertical="center"/>
    </xf>
    <xf numFmtId="186" fontId="11" fillId="9" borderId="17" xfId="49" applyNumberFormat="1" applyFont="1" applyFill="1" applyBorder="1" applyAlignment="1">
      <alignment horizontal="right" vertical="center"/>
    </xf>
    <xf numFmtId="186" fontId="0" fillId="0" borderId="17" xfId="0" applyNumberFormat="1" applyFont="1" applyBorder="1" applyAlignment="1">
      <alignment vertical="center"/>
    </xf>
    <xf numFmtId="180" fontId="11" fillId="0" borderId="18" xfId="0" applyNumberFormat="1" applyFont="1" applyBorder="1" applyAlignment="1">
      <alignment vertical="center"/>
    </xf>
    <xf numFmtId="186" fontId="0" fillId="9" borderId="19" xfId="0" applyNumberFormat="1" applyFill="1" applyBorder="1" applyAlignment="1">
      <alignment vertical="center"/>
    </xf>
    <xf numFmtId="180" fontId="11" fillId="0" borderId="0" xfId="0" applyNumberFormat="1" applyFont="1" applyBorder="1" applyAlignment="1">
      <alignment vertical="center"/>
    </xf>
    <xf numFmtId="180" fontId="0" fillId="0" borderId="16" xfId="0" applyNumberFormat="1" applyFont="1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46" xfId="0" applyNumberFormat="1" applyFont="1" applyBorder="1" applyAlignment="1">
      <alignment horizontal="center" vertical="center"/>
    </xf>
    <xf numFmtId="180" fontId="0" fillId="0" borderId="15" xfId="0" applyNumberFormat="1" applyFon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46" xfId="0" applyNumberFormat="1" applyBorder="1" applyAlignment="1">
      <alignment horizontal="center" vertical="center"/>
    </xf>
    <xf numFmtId="180" fontId="0" fillId="7" borderId="17" xfId="0" applyNumberFormat="1" applyFill="1" applyBorder="1" applyAlignment="1">
      <alignment vertical="center"/>
    </xf>
    <xf numFmtId="41" fontId="32" fillId="0" borderId="0" xfId="0" applyNumberFormat="1" applyFont="1">
      <alignment vertical="center"/>
    </xf>
    <xf numFmtId="41" fontId="33" fillId="0" borderId="0" xfId="0" applyNumberFormat="1" applyFont="1">
      <alignment vertical="center"/>
    </xf>
    <xf numFmtId="41" fontId="34" fillId="0" borderId="0" xfId="0" applyNumberFormat="1" applyFont="1">
      <alignment vertical="center"/>
    </xf>
    <xf numFmtId="41" fontId="34" fillId="0" borderId="0" xfId="0" applyNumberFormat="1" applyFont="1" applyAlignment="1">
      <alignment horizontal="center" vertical="center"/>
    </xf>
    <xf numFmtId="41" fontId="32" fillId="0" borderId="0" xfId="0" applyNumberFormat="1" applyFont="1" applyAlignment="1">
      <alignment horizontal="left" vertical="center"/>
    </xf>
    <xf numFmtId="41" fontId="32" fillId="0" borderId="0" xfId="0" applyNumberFormat="1" applyFont="1" applyAlignment="1">
      <alignment horizontal="center" vertical="center"/>
    </xf>
    <xf numFmtId="41" fontId="34" fillId="7" borderId="0" xfId="0" applyNumberFormat="1" applyFont="1" applyFill="1">
      <alignment vertical="center"/>
    </xf>
    <xf numFmtId="41" fontId="35" fillId="8" borderId="0" xfId="0" applyNumberFormat="1" applyFont="1" applyFill="1">
      <alignment vertical="center"/>
    </xf>
    <xf numFmtId="41" fontId="33" fillId="7" borderId="0" xfId="0" applyNumberFormat="1" applyFont="1" applyFill="1">
      <alignment vertical="center"/>
    </xf>
    <xf numFmtId="181" fontId="5" fillId="3" borderId="4" xfId="8" applyFont="1" applyFill="1" applyBorder="1" applyAlignment="1">
      <alignment horizontal="center"/>
    </xf>
    <xf numFmtId="181" fontId="5" fillId="3" borderId="4" xfId="8" applyFont="1" applyFill="1" applyBorder="1" applyAlignment="1"/>
    <xf numFmtId="181" fontId="5" fillId="5" borderId="4" xfId="8" applyFont="1" applyFill="1" applyBorder="1" applyAlignment="1"/>
    <xf numFmtId="181" fontId="10" fillId="2" borderId="4" xfId="8" applyFont="1" applyFill="1" applyBorder="1" applyAlignment="1">
      <alignment horizontal="center" wrapText="1"/>
    </xf>
    <xf numFmtId="181" fontId="10" fillId="2" borderId="4" xfId="8" applyFont="1" applyFill="1" applyBorder="1" applyAlignment="1">
      <alignment horizontal="right" wrapText="1"/>
    </xf>
    <xf numFmtId="43" fontId="4" fillId="0" borderId="4" xfId="8" applyNumberFormat="1" applyFont="1" applyFill="1" applyBorder="1" applyAlignment="1">
      <alignment horizontal="center" vertical="center"/>
    </xf>
    <xf numFmtId="43" fontId="4" fillId="0" borderId="4" xfId="8" applyNumberFormat="1" applyFont="1" applyFill="1" applyBorder="1" applyAlignment="1">
      <alignment horizontal="left" vertical="center"/>
    </xf>
    <xf numFmtId="43" fontId="4" fillId="2" borderId="4" xfId="8" applyNumberFormat="1" applyFont="1" applyFill="1" applyBorder="1" applyAlignment="1">
      <alignment horizontal="center" vertical="center"/>
    </xf>
    <xf numFmtId="43" fontId="4" fillId="2" borderId="4" xfId="8" applyNumberFormat="1" applyFont="1" applyFill="1" applyBorder="1" applyAlignment="1">
      <alignment horizontal="left" vertical="center"/>
    </xf>
    <xf numFmtId="43" fontId="7" fillId="2" borderId="7" xfId="8" applyNumberFormat="1" applyFont="1" applyFill="1" applyBorder="1" applyAlignment="1">
      <alignment horizontal="center" vertical="center"/>
    </xf>
    <xf numFmtId="43" fontId="7" fillId="2" borderId="7" xfId="8" applyNumberFormat="1" applyFont="1" applyFill="1" applyBorder="1" applyAlignment="1">
      <alignment horizontal="left" vertical="center"/>
    </xf>
    <xf numFmtId="41" fontId="35" fillId="5" borderId="0" xfId="0" applyNumberFormat="1" applyFont="1" applyFill="1">
      <alignment vertical="center"/>
    </xf>
    <xf numFmtId="41" fontId="5" fillId="3" borderId="4" xfId="8" applyNumberFormat="1" applyFont="1" applyFill="1" applyBorder="1" applyAlignment="1"/>
    <xf numFmtId="41" fontId="34" fillId="0" borderId="0" xfId="0" applyNumberFormat="1" applyFont="1" applyFill="1">
      <alignment vertical="center"/>
    </xf>
    <xf numFmtId="41" fontId="34" fillId="7" borderId="0" xfId="0" applyNumberFormat="1" applyFont="1" applyFill="1" applyAlignment="1">
      <alignment horizontal="center" vertical="center"/>
    </xf>
    <xf numFmtId="41" fontId="5" fillId="3" borderId="4" xfId="8" applyNumberFormat="1" applyFont="1" applyFill="1" applyBorder="1" applyAlignment="1">
      <alignment horizontal="center"/>
    </xf>
    <xf numFmtId="41" fontId="10" fillId="2" borderId="4" xfId="8" applyNumberFormat="1" applyFont="1" applyFill="1" applyBorder="1" applyAlignment="1" applyProtection="1">
      <alignment horizontal="right" wrapText="1"/>
    </xf>
    <xf numFmtId="41" fontId="10" fillId="2" borderId="4" xfId="8" applyNumberFormat="1" applyFont="1" applyFill="1" applyBorder="1" applyAlignment="1" applyProtection="1">
      <alignment horizontal="center" wrapText="1"/>
    </xf>
    <xf numFmtId="177" fontId="34" fillId="0" borderId="0" xfId="0" applyNumberFormat="1" applyFont="1">
      <alignment vertical="center"/>
    </xf>
    <xf numFmtId="41" fontId="4" fillId="8" borderId="0" xfId="8" applyNumberFormat="1" applyFont="1" applyFill="1" applyBorder="1" applyAlignment="1">
      <alignment horizontal="left" vertical="center" wrapText="1"/>
    </xf>
    <xf numFmtId="182" fontId="33" fillId="0" borderId="0" xfId="0" applyNumberFormat="1" applyFont="1">
      <alignment vertical="center"/>
    </xf>
    <xf numFmtId="179" fontId="34" fillId="0" borderId="0" xfId="0" applyNumberFormat="1" applyFont="1" applyAlignment="1" applyProtection="1">
      <alignment horizontal="center" vertical="center"/>
      <protection locked="0"/>
    </xf>
    <xf numFmtId="179" fontId="33" fillId="0" borderId="0" xfId="0" applyNumberFormat="1" applyFont="1" applyAlignment="1" applyProtection="1">
      <alignment horizontal="center" vertical="center"/>
      <protection locked="0"/>
    </xf>
    <xf numFmtId="179" fontId="34" fillId="0" borderId="0" xfId="0" applyNumberFormat="1" applyFont="1" applyAlignment="1" applyProtection="1">
      <alignment horizontal="center" vertical="center"/>
      <protection hidden="1"/>
    </xf>
    <xf numFmtId="179" fontId="35" fillId="0" borderId="0" xfId="0" applyNumberFormat="1" applyFont="1" applyAlignment="1" applyProtection="1">
      <alignment horizontal="center" vertical="center"/>
      <protection hidden="1"/>
    </xf>
    <xf numFmtId="0" fontId="34" fillId="12" borderId="0" xfId="0" applyFont="1" applyFill="1" applyAlignment="1" applyProtection="1">
      <alignment horizontal="center" vertical="center"/>
      <protection locked="0"/>
    </xf>
    <xf numFmtId="0" fontId="34" fillId="5" borderId="0" xfId="0" applyFont="1" applyFill="1" applyAlignment="1" applyProtection="1">
      <alignment horizontal="center" vertical="center"/>
      <protection locked="0"/>
    </xf>
    <xf numFmtId="0" fontId="34" fillId="0" borderId="0" xfId="0" applyFont="1">
      <alignment vertical="center"/>
    </xf>
    <xf numFmtId="0" fontId="34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33" fillId="7" borderId="0" xfId="0" applyFont="1" applyFill="1" applyProtection="1">
      <alignment vertical="center"/>
      <protection locked="0"/>
    </xf>
    <xf numFmtId="0" fontId="34" fillId="7" borderId="0" xfId="0" applyFont="1" applyFill="1" applyAlignment="1" applyProtection="1">
      <alignment horizontal="center" vertical="center"/>
      <protection locked="0"/>
    </xf>
    <xf numFmtId="179" fontId="34" fillId="7" borderId="0" xfId="0" applyNumberFormat="1" applyFont="1" applyFill="1" applyAlignment="1" applyProtection="1">
      <alignment horizontal="center" vertical="center"/>
      <protection locked="0"/>
    </xf>
    <xf numFmtId="10" fontId="34" fillId="5" borderId="0" xfId="0" applyNumberFormat="1" applyFont="1" applyFill="1" applyAlignment="1" applyProtection="1">
      <alignment horizontal="center" vertical="center"/>
      <protection locked="0"/>
    </xf>
    <xf numFmtId="179" fontId="10" fillId="6" borderId="4" xfId="11" applyNumberFormat="1" applyFont="1" applyFill="1" applyBorder="1" applyAlignment="1" applyProtection="1">
      <alignment horizontal="center" wrapText="1"/>
      <protection locked="0"/>
    </xf>
    <xf numFmtId="179" fontId="10" fillId="6" borderId="4" xfId="11" applyNumberFormat="1" applyFont="1" applyFill="1" applyBorder="1" applyAlignment="1">
      <alignment horizontal="right" wrapText="1"/>
    </xf>
    <xf numFmtId="179" fontId="36" fillId="17" borderId="30" xfId="0" applyNumberFormat="1" applyFont="1" applyFill="1" applyBorder="1" applyAlignment="1">
      <alignment horizontal="center" wrapText="1"/>
    </xf>
    <xf numFmtId="179" fontId="10" fillId="3" borderId="12" xfId="0" applyNumberFormat="1" applyFont="1" applyFill="1" applyBorder="1" applyAlignment="1" applyProtection="1">
      <alignment horizontal="center"/>
      <protection locked="0"/>
    </xf>
    <xf numFmtId="179" fontId="10" fillId="3" borderId="12" xfId="0" applyNumberFormat="1" applyFont="1" applyFill="1" applyBorder="1" applyAlignment="1">
      <alignment horizontal="right"/>
    </xf>
    <xf numFmtId="179" fontId="36" fillId="3" borderId="47" xfId="0" applyNumberFormat="1" applyFont="1" applyFill="1" applyBorder="1" applyAlignment="1">
      <alignment horizontal="center" wrapText="1"/>
    </xf>
    <xf numFmtId="179" fontId="4" fillId="0" borderId="13" xfId="0" applyNumberFormat="1" applyFont="1" applyBorder="1" applyAlignment="1" applyProtection="1">
      <alignment horizontal="center" vertical="center"/>
      <protection locked="0"/>
    </xf>
    <xf numFmtId="179" fontId="4" fillId="0" borderId="13" xfId="0" applyNumberFormat="1" applyFont="1" applyBorder="1" applyAlignment="1">
      <alignment horizontal="right" vertical="center"/>
    </xf>
    <xf numFmtId="179" fontId="12" fillId="6" borderId="12" xfId="0" applyNumberFormat="1" applyFont="1" applyFill="1" applyBorder="1" applyAlignment="1">
      <alignment horizontal="right"/>
    </xf>
    <xf numFmtId="179" fontId="37" fillId="17" borderId="47" xfId="0" applyNumberFormat="1" applyFont="1" applyFill="1" applyBorder="1" applyAlignment="1">
      <alignment horizontal="center" wrapText="1"/>
    </xf>
    <xf numFmtId="179" fontId="5" fillId="3" borderId="12" xfId="0" applyNumberFormat="1" applyFont="1" applyFill="1" applyBorder="1" applyAlignment="1" applyProtection="1">
      <alignment horizontal="center"/>
      <protection locked="0"/>
    </xf>
    <xf numFmtId="179" fontId="5" fillId="3" borderId="12" xfId="0" applyNumberFormat="1" applyFont="1" applyFill="1" applyBorder="1" applyAlignment="1">
      <alignment horizontal="right"/>
    </xf>
    <xf numFmtId="179" fontId="12" fillId="7" borderId="3" xfId="0" applyNumberFormat="1" applyFont="1" applyFill="1" applyBorder="1" applyAlignment="1" applyProtection="1">
      <alignment horizontal="center"/>
      <protection locked="0"/>
    </xf>
    <xf numFmtId="179" fontId="12" fillId="7" borderId="3" xfId="0" applyNumberFormat="1" applyFont="1" applyFill="1" applyBorder="1" applyAlignment="1">
      <alignment horizontal="right"/>
    </xf>
    <xf numFmtId="179" fontId="12" fillId="2" borderId="14" xfId="0" applyNumberFormat="1" applyFont="1" applyFill="1" applyBorder="1" applyAlignment="1">
      <alignment horizontal="right"/>
    </xf>
    <xf numFmtId="179" fontId="33" fillId="0" borderId="0" xfId="0" applyNumberFormat="1" applyFont="1" applyAlignment="1" applyProtection="1">
      <alignment vertical="center"/>
      <protection locked="0"/>
    </xf>
    <xf numFmtId="179" fontId="33" fillId="5" borderId="0" xfId="0" applyNumberFormat="1" applyFont="1" applyFill="1" applyAlignment="1" applyProtection="1">
      <alignment vertical="center"/>
      <protection locked="0"/>
    </xf>
    <xf numFmtId="179" fontId="33" fillId="13" borderId="0" xfId="0" applyNumberFormat="1" applyFont="1" applyFill="1" applyAlignment="1" applyProtection="1">
      <alignment vertical="center"/>
      <protection locked="0"/>
    </xf>
    <xf numFmtId="179" fontId="33" fillId="0" borderId="0" xfId="0" applyNumberFormat="1" applyFont="1" applyFill="1" applyAlignment="1" applyProtection="1">
      <alignment vertical="center"/>
      <protection locked="0"/>
    </xf>
    <xf numFmtId="179" fontId="8" fillId="5" borderId="0" xfId="0" applyNumberFormat="1" applyFont="1" applyFill="1" applyAlignment="1" applyProtection="1">
      <alignment horizontal="center" vertical="center"/>
      <protection locked="0"/>
    </xf>
    <xf numFmtId="179" fontId="34" fillId="7" borderId="0" xfId="0" applyNumberFormat="1" applyFont="1" applyFill="1" applyAlignment="1" applyProtection="1">
      <alignment vertical="center"/>
      <protection locked="0"/>
    </xf>
    <xf numFmtId="179" fontId="10" fillId="6" borderId="4" xfId="11" applyNumberFormat="1" applyFont="1" applyFill="1" applyBorder="1" applyAlignment="1" applyProtection="1">
      <alignment horizontal="center" wrapText="1"/>
      <protection hidden="1"/>
    </xf>
    <xf numFmtId="179" fontId="10" fillId="6" borderId="4" xfId="11" applyNumberFormat="1" applyFont="1" applyFill="1" applyBorder="1" applyAlignment="1" applyProtection="1">
      <alignment vertical="center" wrapText="1"/>
      <protection hidden="1"/>
    </xf>
    <xf numFmtId="179" fontId="10" fillId="3" borderId="12" xfId="0" applyNumberFormat="1" applyFont="1" applyFill="1" applyBorder="1" applyAlignment="1" applyProtection="1">
      <alignment vertical="center"/>
      <protection hidden="1"/>
    </xf>
    <xf numFmtId="179" fontId="5" fillId="3" borderId="12" xfId="0" applyNumberFormat="1" applyFont="1" applyFill="1" applyBorder="1" applyAlignment="1" applyProtection="1">
      <alignment vertical="center"/>
      <protection hidden="1"/>
    </xf>
    <xf numFmtId="179" fontId="4" fillId="0" borderId="13" xfId="0" applyNumberFormat="1" applyFont="1" applyBorder="1" applyAlignment="1" applyProtection="1">
      <alignment horizontal="center" vertical="center"/>
      <protection hidden="1"/>
    </xf>
    <xf numFmtId="179" fontId="5" fillId="12" borderId="12" xfId="0" applyNumberFormat="1" applyFont="1" applyFill="1" applyBorder="1" applyAlignment="1" applyProtection="1">
      <alignment vertical="center"/>
      <protection hidden="1"/>
    </xf>
    <xf numFmtId="179" fontId="10" fillId="7" borderId="12" xfId="0" applyNumberFormat="1" applyFont="1" applyFill="1" applyBorder="1" applyAlignment="1" applyProtection="1">
      <alignment vertical="center"/>
      <protection hidden="1"/>
    </xf>
    <xf numFmtId="179" fontId="12" fillId="6" borderId="12" xfId="0" applyNumberFormat="1" applyFont="1" applyFill="1" applyBorder="1" applyAlignment="1" applyProtection="1">
      <alignment vertical="center"/>
      <protection hidden="1"/>
    </xf>
    <xf numFmtId="179" fontId="12" fillId="2" borderId="14" xfId="0" applyNumberFormat="1" applyFont="1" applyFill="1" applyBorder="1" applyAlignment="1" applyProtection="1">
      <alignment vertical="center"/>
      <protection hidden="1"/>
    </xf>
    <xf numFmtId="176" fontId="12" fillId="6" borderId="12" xfId="0" applyNumberFormat="1" applyFont="1" applyFill="1" applyBorder="1" applyAlignment="1" applyProtection="1">
      <alignment horizontal="center"/>
      <protection locked="0"/>
    </xf>
    <xf numFmtId="179" fontId="35" fillId="7" borderId="0" xfId="0" applyNumberFormat="1" applyFont="1" applyFill="1" applyAlignment="1" applyProtection="1">
      <alignment horizontal="center" vertical="center"/>
      <protection locked="0"/>
    </xf>
    <xf numFmtId="179" fontId="34" fillId="5" borderId="0" xfId="0" applyNumberFormat="1" applyFont="1" applyFill="1" applyAlignment="1" applyProtection="1">
      <alignment horizontal="center" vertical="center"/>
      <protection locked="0"/>
    </xf>
    <xf numFmtId="176" fontId="33" fillId="0" borderId="0" xfId="0" applyNumberFormat="1" applyFont="1" applyAlignment="1" applyProtection="1">
      <alignment vertical="center"/>
      <protection locked="0"/>
    </xf>
    <xf numFmtId="179" fontId="8" fillId="5" borderId="1" xfId="50" applyNumberFormat="1" applyFont="1" applyFill="1" applyBorder="1" applyAlignment="1" applyProtection="1">
      <alignment horizontal="center" vertical="center"/>
      <protection locked="0"/>
    </xf>
    <xf numFmtId="179" fontId="34" fillId="8" borderId="0" xfId="0" applyNumberFormat="1" applyFont="1" applyFill="1" applyAlignment="1" applyProtection="1">
      <alignment horizontal="center" vertical="center"/>
      <protection locked="0"/>
    </xf>
    <xf numFmtId="179" fontId="12" fillId="2" borderId="0" xfId="0" applyNumberFormat="1" applyFont="1" applyFill="1" applyBorder="1" applyAlignment="1" applyProtection="1">
      <alignment horizontal="center"/>
      <protection locked="0"/>
    </xf>
    <xf numFmtId="179" fontId="13" fillId="2" borderId="0" xfId="0" applyNumberFormat="1" applyFont="1" applyFill="1" applyBorder="1" applyAlignment="1" applyProtection="1">
      <alignment horizontal="center"/>
      <protection locked="0"/>
    </xf>
    <xf numFmtId="1" fontId="34" fillId="12" borderId="0" xfId="0" applyNumberFormat="1" applyFont="1" applyFill="1" applyAlignment="1" applyProtection="1">
      <alignment horizontal="center" vertical="center"/>
      <protection locked="0"/>
    </xf>
    <xf numFmtId="1" fontId="34" fillId="5" borderId="0" xfId="0" applyNumberFormat="1" applyFont="1" applyFill="1" applyAlignment="1" applyProtection="1">
      <alignment horizontal="center" vertical="center"/>
      <protection locked="0"/>
    </xf>
    <xf numFmtId="178" fontId="10" fillId="6" borderId="4" xfId="11" applyNumberFormat="1" applyFont="1" applyFill="1" applyBorder="1" applyAlignment="1" applyProtection="1">
      <alignment horizontal="center" wrapText="1"/>
      <protection hidden="1"/>
    </xf>
    <xf numFmtId="179" fontId="5" fillId="7" borderId="12" xfId="0" applyNumberFormat="1" applyFont="1" applyFill="1" applyBorder="1" applyAlignment="1" applyProtection="1">
      <alignment horizontal="center"/>
      <protection hidden="1"/>
    </xf>
    <xf numFmtId="179" fontId="4" fillId="7" borderId="13" xfId="0" applyNumberFormat="1" applyFont="1" applyFill="1" applyBorder="1" applyAlignment="1" applyProtection="1">
      <alignment horizontal="center" vertical="center"/>
      <protection hidden="1"/>
    </xf>
    <xf numFmtId="179" fontId="10" fillId="7" borderId="12" xfId="0" applyNumberFormat="1" applyFont="1" applyFill="1" applyBorder="1" applyAlignment="1" applyProtection="1">
      <alignment horizontal="center"/>
      <protection hidden="1"/>
    </xf>
    <xf numFmtId="43" fontId="33" fillId="0" borderId="0" xfId="0" applyNumberFormat="1" applyFont="1" applyAlignment="1" applyProtection="1">
      <alignment horizontal="center" vertical="center"/>
      <protection locked="0"/>
    </xf>
    <xf numFmtId="43" fontId="34" fillId="0" borderId="0" xfId="0" applyNumberFormat="1" applyFont="1" applyAlignment="1" applyProtection="1">
      <alignment horizontal="center" vertical="center"/>
      <protection locked="0"/>
    </xf>
    <xf numFmtId="179" fontId="19" fillId="0" borderId="13" xfId="0" applyNumberFormat="1" applyFont="1" applyBorder="1" applyAlignment="1" applyProtection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资产负债" xfId="49"/>
    <cellStyle name="千位分隔 2" xfId="50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9.xml"/><Relationship Id="rId18" Type="http://schemas.openxmlformats.org/officeDocument/2006/relationships/externalLink" Target="externalLinks/externalLink8.xml"/><Relationship Id="rId17" Type="http://schemas.openxmlformats.org/officeDocument/2006/relationships/externalLink" Target="externalLinks/externalLink7.xml"/><Relationship Id="rId16" Type="http://schemas.openxmlformats.org/officeDocument/2006/relationships/externalLink" Target="externalLinks/externalLink6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130;&#21153;&#25253;&#21578;\&#20844;&#21496;&#36130;&#21153;&#20998;&#26512;&#21450;&#39044;&#31639;&#25253;&#21578;\&#20998;&#26512;2016\4&#26376;\&#32771;&#26680;&#25968;&#25454;&#35843;&#25972;&#34920;2016&#24180;04&#26376;&#65288;&#28145;&#20998;&#6528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WeChat%20Files\py19900823\Files\&#32771;&#26680;&#25968;&#25454;&#35843;&#25972;&#34920;2017&#24180;12&#26376;&#32463;&#32426;&#19994;&#21153;01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26680;&#25968;&#25454;&#35843;&#25972;&#34920;2017&#24180;1-12&#26376;(&#36164;&#31649;0122)V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26680;&#25968;&#25454;&#35843;&#25972;&#34920;2017&#24180;12&#26376;&#65288;&#25237;&#34892;&#65289;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dan\Desktop\2017.12\2017.12\&#32771;&#26680;&#25968;&#25454;&#35843;&#25972;&#34920;2017&#24180;12&#26376;01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771;&#26680;&#35843;&#25972;\&#32771;&#26680;&#35843;&#25972;2017.10\&#32771;&#26680;&#25968;&#25454;&#35843;&#25972;&#34920;2017&#24180;10&#26376;&#65288;&#32463;&#32426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WeChat%20Files\py19900823\Files\&#12304;&#27719;&#24635;&#12305;&#32771;&#26680;&#25968;&#25454;&#35843;&#25972;&#34920;2017&#24180;1-12&#26376;V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771;&#26680;&#35843;&#25972;\2017.12\&#32771;&#26680;&#25968;&#25454;&#35843;&#25972;&#34920;2017&#24180;12&#26376;&#65288;&#32463;&#32426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771;&#26680;&#35843;&#25972;\2017.12\&#32771;&#26680;&#25968;&#25454;&#35843;&#25972;&#34920;2017&#24180;1-12&#26376;(&#36164;&#31649;)V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dan\Desktop\2017.12\2017.12\&#32771;&#26680;&#25968;&#25454;&#35843;&#25972;&#34920;2017&#24180;1-12&#26376;%20&#22266;&#25910;12&#26376;12.3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dan\Desktop\2017.12\2017.12\&#32771;&#26680;&#25968;&#25454;&#35843;&#25972;&#34920;2017&#24180;1-12&#26376;&#65288;&#35777;&#25237;&#12289;&#37329;&#34893;&#12289;&#20570;&#24066;&#6528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771;&#26680;&#35843;&#25972;\2017.12\&#32771;&#26680;&#25968;&#25454;&#35843;&#25972;&#34920;2017&#24180;12&#26376;&#65288;&#25237;&#34892;&#65289;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2771;&#26680;&#25968;&#25454;&#35843;&#25972;&#34920;2017&#24180;12&#26376;&#65288;&#25237;&#34892;&#65289;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dan\Desktop\2017.12\2017.12\&#32771;&#26680;&#25968;&#25454;&#35843;&#25972;&#34920;2017&#24180;12&#26376;&#65288;&#25237;&#34892;&#65289;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Sheet2"/>
      <sheetName val="入经总长摊明细表"/>
      <sheetName val="呼叫中心转运营支持部"/>
      <sheetName val="Sheet1"/>
    </sheetNames>
    <sheetDataSet>
      <sheetData sheetId="0">
        <row r="64">
          <cell r="E64">
            <v>1007343166.9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  <sheetName val="分部报表（费用）"/>
      <sheetName val="调整后万元版"/>
      <sheetName val="原格式费用考核表"/>
      <sheetName val="Sheet2"/>
    </sheetNames>
    <sheetDataSet>
      <sheetData sheetId="0">
        <row r="64">
          <cell r="G64">
            <v>-262895532.170566</v>
          </cell>
          <cell r="H64">
            <v>16148424.35</v>
          </cell>
          <cell r="I64">
            <v>23472706.2905094</v>
          </cell>
          <cell r="J64">
            <v>-7359659.04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（以资金部版本为准)"/>
      <sheetName val="2017年日均资金占用"/>
    </sheetNames>
    <sheetDataSet>
      <sheetData sheetId="0">
        <row r="90">
          <cell r="Q90">
            <v>9527270.72384675</v>
          </cell>
          <cell r="R90">
            <v>166373895.381023</v>
          </cell>
          <cell r="S90">
            <v>7092198.37772213</v>
          </cell>
        </row>
        <row r="90">
          <cell r="U90">
            <v>-2846825.8622466</v>
          </cell>
        </row>
        <row r="90">
          <cell r="W90">
            <v>-133343.308106888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Sheet2"/>
      <sheetName val="入经总长摊明细表"/>
      <sheetName val="呼叫中心转运营支持部"/>
      <sheetName val="Sheet1"/>
    </sheetNames>
    <sheetDataSet>
      <sheetData sheetId="0"/>
      <sheetData sheetId="1"/>
      <sheetData sheetId="2">
        <row r="63">
          <cell r="C63">
            <v>2567592.62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Sheet2"/>
      <sheetName val="入经总长摊明细表"/>
      <sheetName val="呼叫中心转运营支持部"/>
      <sheetName val="Sheet1"/>
    </sheetNames>
    <sheetDataSet>
      <sheetData sheetId="0"/>
      <sheetData sheetId="1"/>
      <sheetData sheetId="2">
        <row r="138">
          <cell r="C138">
            <v>90034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分部报表"/>
      <sheetName val="费用表"/>
      <sheetName val="考核调整事项表"/>
      <sheetName val="资金"/>
      <sheetName val="Sheet1"/>
      <sheetName val="分部报表（费用）"/>
      <sheetName val="调整后万元版"/>
      <sheetName val="原格式费用考核表"/>
    </sheetNames>
    <sheetDataSet>
      <sheetData sheetId="0">
        <row r="4">
          <cell r="Q4">
            <v>-11291053.71</v>
          </cell>
        </row>
        <row r="91">
          <cell r="O91">
            <v>-11827883.0741661</v>
          </cell>
          <cell r="P91">
            <v>8049713.92419088</v>
          </cell>
          <cell r="Q91">
            <v>-4059684.33968847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Sheet2"/>
      <sheetName val="入经总长摊明细表"/>
      <sheetName val="呼叫中心转运营支持部"/>
      <sheetName val="Sheet1"/>
    </sheetNames>
    <sheetDataSet>
      <sheetData sheetId="0" refreshError="1">
        <row r="33">
          <cell r="E33">
            <v>36754198.61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  <sheetName val="分部报表（费用）"/>
      <sheetName val="调整后万元版"/>
      <sheetName val="原格式费用考核表"/>
      <sheetName val="Sheet2"/>
    </sheetNames>
    <sheetDataSet>
      <sheetData sheetId="0">
        <row r="33">
          <cell r="G33">
            <v>-215138402.02</v>
          </cell>
          <cell r="H33">
            <v>-2417493.45</v>
          </cell>
          <cell r="I33">
            <v>10289740.2382453</v>
          </cell>
          <cell r="J33">
            <v>-12454944.53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牌照费"/>
      <sheetName val="资金成本"/>
      <sheetName val="1自营考核指标简表"/>
      <sheetName val="固收费用"/>
      <sheetName val="投顾费用"/>
      <sheetName val="证投费用"/>
      <sheetName val="金工费用"/>
      <sheetName val="做市费用"/>
      <sheetName val="金衍费用"/>
    </sheetNames>
    <sheetDataSet>
      <sheetData sheetId="0">
        <row r="33">
          <cell r="B33">
            <v>-15686639.11</v>
          </cell>
          <cell r="C33">
            <v>-4694306.9224717</v>
          </cell>
          <cell r="D33">
            <v>1019829.57</v>
          </cell>
        </row>
        <row r="64">
          <cell r="B64">
            <v>56655412.31</v>
          </cell>
          <cell r="C64">
            <v>38009812.0175283</v>
          </cell>
          <cell r="D64">
            <v>5561230.71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  <sheetName val="分部报表（费用）"/>
      <sheetName val="调整后万元版"/>
      <sheetName val="原格式费用考核表"/>
    </sheetNames>
    <sheetDataSet>
      <sheetData sheetId="0">
        <row r="33">
          <cell r="O33">
            <v>17086205.14</v>
          </cell>
          <cell r="P33">
            <v>-99230601.13</v>
          </cell>
          <cell r="Q33">
            <v>14832231.4858491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"/>
    </sheetNames>
    <sheetDataSet>
      <sheetData sheetId="0">
        <row r="33">
          <cell r="Q33">
            <v>-1845208.87056604</v>
          </cell>
        </row>
        <row r="33">
          <cell r="W33">
            <v>-589910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（以资金部版本为准)"/>
      <sheetName val="2017年日均资金占用"/>
    </sheetNames>
    <sheetDataSet>
      <sheetData sheetId="0">
        <row r="64">
          <cell r="Q64">
            <v>21405312.429434</v>
          </cell>
          <cell r="R64">
            <v>253615888.748386</v>
          </cell>
          <cell r="S64">
            <v>30270119.5466667</v>
          </cell>
          <cell r="T64">
            <v>0</v>
          </cell>
          <cell r="U64">
            <v>0</v>
          </cell>
          <cell r="V64">
            <v>0</v>
          </cell>
          <cell r="W64">
            <v>3490750.4</v>
          </cell>
          <cell r="X64">
            <v>0</v>
          </cell>
          <cell r="Y64">
            <v>1182641.51</v>
          </cell>
        </row>
        <row r="90">
          <cell r="V90">
            <v>-675977.231751304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（以资金部版本为准)"/>
      <sheetName val="2017年日均资金占用"/>
    </sheetNames>
    <sheetDataSet>
      <sheetData sheetId="0">
        <row r="87">
          <cell r="Q87">
            <v>9527270.72384675</v>
          </cell>
          <cell r="R87">
            <v>166891574.661023</v>
          </cell>
          <cell r="S87">
            <v>7092198.37772213</v>
          </cell>
          <cell r="T87">
            <v>-7519216.97</v>
          </cell>
        </row>
        <row r="87">
          <cell r="W87">
            <v>-133343.308106888</v>
          </cell>
          <cell r="X87">
            <v>-993611.2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129"/>
  <sheetViews>
    <sheetView tabSelected="1" workbookViewId="0">
      <pane xSplit="1" ySplit="3" topLeftCell="D4" activePane="bottomRight" state="frozen"/>
      <selection/>
      <selection pane="topRight"/>
      <selection pane="bottomLeft"/>
      <selection pane="bottomRight" activeCell="H72" sqref="H72"/>
    </sheetView>
  </sheetViews>
  <sheetFormatPr defaultColWidth="9" defaultRowHeight="13.5"/>
  <cols>
    <col min="1" max="1" width="34.875" style="318" customWidth="1"/>
    <col min="2" max="2" width="18" style="318" customWidth="1"/>
    <col min="3" max="3" width="17.375" style="318" customWidth="1"/>
    <col min="4" max="4" width="15.125" style="318" customWidth="1"/>
    <col min="5" max="5" width="14.75" style="318" customWidth="1"/>
    <col min="6" max="10" width="17.875" style="318" customWidth="1"/>
    <col min="11" max="11" width="17.25" style="318" customWidth="1"/>
    <col min="12" max="13" width="17.875" style="318" customWidth="1"/>
    <col min="14" max="14" width="15.75" style="318" customWidth="1"/>
    <col min="15" max="16" width="17.25" style="318" customWidth="1"/>
    <col min="17" max="17" width="14.125" style="318" customWidth="1"/>
    <col min="18" max="18" width="15.125" style="318" customWidth="1"/>
    <col min="19" max="21" width="16.125" style="318" customWidth="1"/>
    <col min="22" max="22" width="12" style="318" customWidth="1"/>
    <col min="23" max="23" width="12.25" style="318" customWidth="1"/>
    <col min="24" max="26" width="16.125" style="318" customWidth="1"/>
    <col min="27" max="27" width="14.25" style="318" customWidth="1"/>
    <col min="28" max="28" width="10.5" style="318" customWidth="1"/>
    <col min="29" max="30" width="16.125" style="318" customWidth="1"/>
    <col min="31" max="16384" width="9" style="318"/>
  </cols>
  <sheetData>
    <row r="1" ht="22.5" customHeight="1" spans="1:27">
      <c r="A1" s="319" t="s">
        <v>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</row>
    <row r="2" ht="14.25" spans="1:30">
      <c r="A2" s="320" t="s">
        <v>1</v>
      </c>
      <c r="B2" s="321" t="s">
        <v>2</v>
      </c>
      <c r="C2" s="322"/>
      <c r="D2" s="322"/>
      <c r="E2" s="323"/>
      <c r="F2" s="316">
        <v>12</v>
      </c>
      <c r="G2" s="324">
        <v>0.052</v>
      </c>
      <c r="H2" s="322"/>
      <c r="I2" s="322"/>
      <c r="J2" s="322"/>
      <c r="K2" s="322"/>
      <c r="L2" s="322"/>
      <c r="M2" s="322"/>
      <c r="N2" s="322"/>
      <c r="O2" s="322"/>
      <c r="P2" s="322"/>
      <c r="Q2" s="323">
        <f>Q4-[2]累计利润调整表!$Q$4</f>
        <v>17691127.03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C2" s="311"/>
      <c r="AD2" s="311"/>
    </row>
    <row r="3" s="311" customFormat="1" ht="14.25" customHeight="1" spans="1:28">
      <c r="A3" s="28" t="s">
        <v>3</v>
      </c>
      <c r="B3" s="28" t="s">
        <v>4</v>
      </c>
      <c r="C3" s="28" t="s">
        <v>5</v>
      </c>
      <c r="D3" s="28" t="s">
        <v>6</v>
      </c>
      <c r="E3" s="28" t="s">
        <v>7</v>
      </c>
      <c r="F3" s="28" t="s">
        <v>8</v>
      </c>
      <c r="G3" s="33" t="s">
        <v>9</v>
      </c>
      <c r="H3" s="33" t="s">
        <v>10</v>
      </c>
      <c r="I3" s="33" t="s">
        <v>11</v>
      </c>
      <c r="J3" s="33" t="s">
        <v>12</v>
      </c>
      <c r="K3" s="28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3" t="s">
        <v>18</v>
      </c>
      <c r="Q3" s="33" t="s">
        <v>19</v>
      </c>
      <c r="R3" s="33" t="s">
        <v>20</v>
      </c>
      <c r="S3" s="28" t="s">
        <v>21</v>
      </c>
      <c r="T3" s="33" t="s">
        <v>22</v>
      </c>
      <c r="U3" s="33" t="s">
        <v>23</v>
      </c>
      <c r="V3" s="359" t="s">
        <v>24</v>
      </c>
      <c r="W3" s="33" t="s">
        <v>25</v>
      </c>
      <c r="X3" s="33" t="s">
        <v>26</v>
      </c>
      <c r="Y3" s="33" t="s">
        <v>27</v>
      </c>
      <c r="Z3" s="33" t="s">
        <v>28</v>
      </c>
      <c r="AA3" s="28" t="s">
        <v>29</v>
      </c>
      <c r="AB3" s="28" t="s">
        <v>30</v>
      </c>
    </row>
    <row r="4" s="311" customFormat="1" spans="1:28">
      <c r="A4" s="325" t="s">
        <v>31</v>
      </c>
      <c r="B4" s="326">
        <f>C4+D4+E4+F4+K4+S4</f>
        <v>1247541370.92</v>
      </c>
      <c r="C4" s="326">
        <f>分部报表!J4</f>
        <v>3825800.79</v>
      </c>
      <c r="D4" s="327">
        <f>分部报表!I4+分部报表!K4+G4+R4+AA4+AB4</f>
        <v>-263266320.99</v>
      </c>
      <c r="E4" s="326">
        <f>分部报表!T4+分部报表!Q4+分部报表!P4+分部报表!O4</f>
        <v>960954186.63</v>
      </c>
      <c r="F4" s="326">
        <f>H4+I4+J4</f>
        <v>-24871537.16</v>
      </c>
      <c r="G4" s="326">
        <f>分部报表!AK4</f>
        <v>14098608.09</v>
      </c>
      <c r="H4" s="326">
        <f>分部报表!AL4</f>
        <v>-48130390.66</v>
      </c>
      <c r="I4" s="326">
        <f>分部报表!AM4</f>
        <v>18232817.81</v>
      </c>
      <c r="J4" s="326">
        <f>分部报表!AJ4</f>
        <v>5026035.69</v>
      </c>
      <c r="K4" s="326">
        <f>SUM(L4:Q4)</f>
        <v>271304179.54</v>
      </c>
      <c r="L4" s="326">
        <f>分部报表!V4</f>
        <v>72342051.42</v>
      </c>
      <c r="M4" s="326">
        <f>分部报表!W4</f>
        <v>42704118.94</v>
      </c>
      <c r="N4" s="326">
        <f>分部报表!AA4</f>
        <v>4541401.14</v>
      </c>
      <c r="O4" s="326">
        <f>分部报表!X4</f>
        <v>66995208.78</v>
      </c>
      <c r="P4" s="326">
        <f>分部报表!Z4</f>
        <v>78321325.94</v>
      </c>
      <c r="Q4" s="326">
        <f>分部报表!Y4</f>
        <v>6400073.32</v>
      </c>
      <c r="R4" s="326">
        <f>分部报表!U4</f>
        <v>9393.96</v>
      </c>
      <c r="S4" s="326">
        <f>SUM(T4:Z4)</f>
        <v>299595062.11</v>
      </c>
      <c r="T4" s="326">
        <f>分部报表!AE4</f>
        <v>23250521.3</v>
      </c>
      <c r="U4" s="326">
        <f>分部报表!AC4</f>
        <v>242154427.53</v>
      </c>
      <c r="V4" s="326">
        <f>分部报表!AD4</f>
        <v>30109452.88</v>
      </c>
      <c r="W4" s="326">
        <f>分部报表!AF4</f>
        <v>4080660.4</v>
      </c>
      <c r="X4" s="326">
        <f>分部报表!AG4</f>
        <v>0</v>
      </c>
      <c r="Y4" s="326">
        <f>分部报表!AH4</f>
        <v>0</v>
      </c>
      <c r="Z4" s="326">
        <f>分部报表!AI4</f>
        <v>0</v>
      </c>
      <c r="AA4" s="326">
        <f>分部报表!AB4</f>
        <v>566037.73</v>
      </c>
      <c r="AB4" s="326">
        <f>分部报表!S4</f>
        <v>181.13</v>
      </c>
    </row>
    <row r="5" s="311" customFormat="1" spans="1:28">
      <c r="A5" s="328" t="s">
        <v>32</v>
      </c>
      <c r="B5" s="329">
        <f t="shared" ref="B5:B27" si="0">C5+D5+E5+F5+K5+S5</f>
        <v>807669141.73</v>
      </c>
      <c r="C5" s="330">
        <f>分部报表!J5</f>
        <v>-50</v>
      </c>
      <c r="D5" s="330">
        <f>分部报表!I5+分部报表!K5+G5+R5+AA5+AB5</f>
        <v>14767976.7</v>
      </c>
      <c r="E5" s="326">
        <f>分部报表!T5+分部报表!Q5+分部报表!P5+分部报表!O5</f>
        <v>437512388.3</v>
      </c>
      <c r="F5" s="326">
        <f t="shared" ref="F5:F27" si="1">H5+I5+J5</f>
        <v>54450651.24</v>
      </c>
      <c r="G5" s="329">
        <f>分部报表!AK5</f>
        <v>15165015.81</v>
      </c>
      <c r="H5" s="329">
        <f>分部报表!AL5</f>
        <v>36419055.28</v>
      </c>
      <c r="I5" s="329">
        <f>分部报表!AM5</f>
        <v>14970702.62</v>
      </c>
      <c r="J5" s="329">
        <f>分部报表!AJ5</f>
        <v>3060893.34</v>
      </c>
      <c r="K5" s="326">
        <f t="shared" ref="K5:K26" si="2">SUM(L5:Q5)</f>
        <v>1330819.8</v>
      </c>
      <c r="L5" s="329">
        <f>分部报表!V5</f>
        <v>-2092352.16</v>
      </c>
      <c r="M5" s="329">
        <f>分部报表!W5</f>
        <v>449350.28</v>
      </c>
      <c r="N5" s="329">
        <f>分部报表!AA5</f>
        <v>2778633.26</v>
      </c>
      <c r="O5" s="329">
        <f>分部报表!X5</f>
        <v>214406.36</v>
      </c>
      <c r="P5" s="329">
        <f>分部报表!Z5</f>
        <v>0</v>
      </c>
      <c r="Q5" s="329">
        <f>分部报表!Y5</f>
        <v>-19217.94</v>
      </c>
      <c r="R5" s="329">
        <f>分部报表!U5</f>
        <v>-2722</v>
      </c>
      <c r="S5" s="326">
        <f t="shared" ref="S5:S26" si="3">SUM(T5:Z5)</f>
        <v>299607355.69</v>
      </c>
      <c r="T5" s="329">
        <f>分部报表!AE5</f>
        <v>23250521.3</v>
      </c>
      <c r="U5" s="329">
        <f>分部报表!AC5</f>
        <v>242166721.11</v>
      </c>
      <c r="V5" s="329">
        <f>分部报表!AD5</f>
        <v>30109452.88</v>
      </c>
      <c r="W5" s="329">
        <f>分部报表!AF5</f>
        <v>4080660.4</v>
      </c>
      <c r="X5" s="329">
        <f>分部报表!AG5</f>
        <v>0</v>
      </c>
      <c r="Y5" s="329">
        <f>分部报表!AH5</f>
        <v>0</v>
      </c>
      <c r="Z5" s="329">
        <f>分部报表!AI5</f>
        <v>0</v>
      </c>
      <c r="AA5" s="329">
        <f>分部报表!AB5</f>
        <v>566037.73</v>
      </c>
      <c r="AB5" s="329">
        <f>分部报表!S5</f>
        <v>0</v>
      </c>
    </row>
    <row r="6" s="311" customFormat="1" spans="1:28">
      <c r="A6" s="331" t="s">
        <v>33</v>
      </c>
      <c r="B6" s="332">
        <f t="shared" si="0"/>
        <v>436274942.1</v>
      </c>
      <c r="C6" s="330">
        <f>分部报表!J6</f>
        <v>-50</v>
      </c>
      <c r="D6" s="330">
        <f>分部报表!I6+分部报表!K6+G6+R6+AA6+AB6</f>
        <v>-43795.07</v>
      </c>
      <c r="E6" s="326">
        <f>分部报表!T6+分部报表!Q6+分部报表!P6+分部报表!O6</f>
        <v>435630465.85</v>
      </c>
      <c r="F6" s="326">
        <f t="shared" si="1"/>
        <v>493132.9</v>
      </c>
      <c r="G6" s="332">
        <f>分部报表!AK6</f>
        <v>414984.17</v>
      </c>
      <c r="H6" s="332">
        <f>分部报表!AL6</f>
        <v>0</v>
      </c>
      <c r="I6" s="332">
        <f>分部报表!AM6</f>
        <v>0</v>
      </c>
      <c r="J6" s="332">
        <f>分部报表!AJ6</f>
        <v>493132.9</v>
      </c>
      <c r="K6" s="326">
        <f t="shared" si="2"/>
        <v>195188.42</v>
      </c>
      <c r="L6" s="332">
        <f>分部报表!V6</f>
        <v>0</v>
      </c>
      <c r="M6" s="332">
        <f>分部报表!W6</f>
        <v>0</v>
      </c>
      <c r="N6" s="332">
        <f>分部报表!AA6</f>
        <v>0</v>
      </c>
      <c r="O6" s="332">
        <f>分部报表!X6</f>
        <v>214406.36</v>
      </c>
      <c r="P6" s="332">
        <f>分部报表!Z6</f>
        <v>0</v>
      </c>
      <c r="Q6" s="332">
        <f>分部报表!Y6</f>
        <v>-19217.94</v>
      </c>
      <c r="R6" s="332">
        <f>分部报表!U6</f>
        <v>0</v>
      </c>
      <c r="S6" s="326">
        <f t="shared" si="3"/>
        <v>0</v>
      </c>
      <c r="T6" s="332">
        <f>分部报表!AE6</f>
        <v>0</v>
      </c>
      <c r="U6" s="332">
        <f>分部报表!AC6</f>
        <v>0</v>
      </c>
      <c r="V6" s="332">
        <f>分部报表!AD6</f>
        <v>0</v>
      </c>
      <c r="W6" s="332">
        <f>分部报表!AF6</f>
        <v>0</v>
      </c>
      <c r="X6" s="332">
        <f>分部报表!AG6</f>
        <v>0</v>
      </c>
      <c r="Y6" s="332">
        <f>分部报表!AH6</f>
        <v>0</v>
      </c>
      <c r="Z6" s="332">
        <f>分部报表!AI6</f>
        <v>0</v>
      </c>
      <c r="AA6" s="332">
        <f>分部报表!AB6</f>
        <v>0</v>
      </c>
      <c r="AB6" s="332">
        <f>分部报表!S6</f>
        <v>0</v>
      </c>
    </row>
    <row r="7" s="311" customFormat="1" spans="1:28">
      <c r="A7" s="331" t="s">
        <v>34</v>
      </c>
      <c r="B7" s="332">
        <f t="shared" si="0"/>
        <v>298645091.53</v>
      </c>
      <c r="C7" s="330">
        <f>分部报表!J7</f>
        <v>0</v>
      </c>
      <c r="D7" s="330">
        <f>分部报表!I7+分部报表!K7+G7+R7+AA7+AB7</f>
        <v>566037.73</v>
      </c>
      <c r="E7" s="326">
        <f>分部报表!T7+分部报表!Q7+分部报表!P7+分部报表!O7</f>
        <v>0</v>
      </c>
      <c r="F7" s="326">
        <f t="shared" si="1"/>
        <v>0</v>
      </c>
      <c r="G7" s="332">
        <f>分部报表!AK7</f>
        <v>0</v>
      </c>
      <c r="H7" s="332">
        <f>分部报表!AL7</f>
        <v>0</v>
      </c>
      <c r="I7" s="332">
        <f>分部报表!AM7</f>
        <v>0</v>
      </c>
      <c r="J7" s="332">
        <f>分部报表!AJ7</f>
        <v>0</v>
      </c>
      <c r="K7" s="326">
        <f t="shared" si="2"/>
        <v>0</v>
      </c>
      <c r="L7" s="332">
        <f>分部报表!V7</f>
        <v>0</v>
      </c>
      <c r="M7" s="332">
        <f>分部报表!W7</f>
        <v>0</v>
      </c>
      <c r="N7" s="332">
        <f>分部报表!AA7</f>
        <v>0</v>
      </c>
      <c r="O7" s="332">
        <f>分部报表!X7</f>
        <v>0</v>
      </c>
      <c r="P7" s="332">
        <f>分部报表!Z7</f>
        <v>0</v>
      </c>
      <c r="Q7" s="332">
        <f>分部报表!Y7</f>
        <v>0</v>
      </c>
      <c r="R7" s="332">
        <f>分部报表!U7</f>
        <v>0</v>
      </c>
      <c r="S7" s="326">
        <f t="shared" si="3"/>
        <v>298079053.8</v>
      </c>
      <c r="T7" s="332">
        <f>分部报表!AE7</f>
        <v>23250521.3</v>
      </c>
      <c r="U7" s="332">
        <f>分部报表!AC7</f>
        <v>240638419.22</v>
      </c>
      <c r="V7" s="332">
        <f>分部报表!AD7</f>
        <v>30109452.88</v>
      </c>
      <c r="W7" s="332">
        <f>分部报表!AF7</f>
        <v>4080660.4</v>
      </c>
      <c r="X7" s="332">
        <f>分部报表!AG7</f>
        <v>0</v>
      </c>
      <c r="Y7" s="332">
        <f>分部报表!AH7</f>
        <v>0</v>
      </c>
      <c r="Z7" s="332">
        <f>分部报表!AI7</f>
        <v>0</v>
      </c>
      <c r="AA7" s="332">
        <f>分部报表!AB7</f>
        <v>566037.73</v>
      </c>
      <c r="AB7" s="332">
        <f>分部报表!S7</f>
        <v>0</v>
      </c>
    </row>
    <row r="8" s="311" customFormat="1" spans="1:28">
      <c r="A8" s="331" t="s">
        <v>35</v>
      </c>
      <c r="B8" s="332">
        <f t="shared" si="0"/>
        <v>70244462.61</v>
      </c>
      <c r="C8" s="330">
        <f>分部报表!J8</f>
        <v>0</v>
      </c>
      <c r="D8" s="330">
        <f>分部报表!I8+分部报表!K8+G8+R8+AA8+AB8</f>
        <v>14758642.38</v>
      </c>
      <c r="E8" s="326">
        <f>分部报表!T8+分部报表!Q8+分部报表!P8+分部报表!O8</f>
        <v>0</v>
      </c>
      <c r="F8" s="326">
        <f t="shared" si="1"/>
        <v>53957518.34</v>
      </c>
      <c r="G8" s="332">
        <f>分部报表!AK8</f>
        <v>14758642.38</v>
      </c>
      <c r="H8" s="332">
        <f>分部报表!AL8</f>
        <v>36419055.28</v>
      </c>
      <c r="I8" s="332">
        <f>分部报表!AM8</f>
        <v>14970702.62</v>
      </c>
      <c r="J8" s="332">
        <f>分部报表!AJ8</f>
        <v>2567760.44</v>
      </c>
      <c r="K8" s="326">
        <f t="shared" si="2"/>
        <v>0</v>
      </c>
      <c r="L8" s="332">
        <f>分部报表!V8</f>
        <v>0</v>
      </c>
      <c r="M8" s="332">
        <f>分部报表!W8</f>
        <v>0</v>
      </c>
      <c r="N8" s="332">
        <f>分部报表!AA8</f>
        <v>0</v>
      </c>
      <c r="O8" s="332">
        <f>分部报表!X8</f>
        <v>0</v>
      </c>
      <c r="P8" s="332">
        <f>分部报表!Z8</f>
        <v>0</v>
      </c>
      <c r="Q8" s="332">
        <f>分部报表!Y8</f>
        <v>0</v>
      </c>
      <c r="R8" s="332">
        <f>分部报表!U8</f>
        <v>0</v>
      </c>
      <c r="S8" s="326">
        <f t="shared" si="3"/>
        <v>1528301.89</v>
      </c>
      <c r="T8" s="332">
        <f>分部报表!AE8</f>
        <v>0</v>
      </c>
      <c r="U8" s="332">
        <f>分部报表!AC8</f>
        <v>1528301.89</v>
      </c>
      <c r="V8" s="332">
        <f>分部报表!AD8</f>
        <v>0</v>
      </c>
      <c r="W8" s="332">
        <f>分部报表!AF8</f>
        <v>0</v>
      </c>
      <c r="X8" s="332">
        <f>分部报表!AG8</f>
        <v>0</v>
      </c>
      <c r="Y8" s="332">
        <f>分部报表!AH8</f>
        <v>0</v>
      </c>
      <c r="Z8" s="332">
        <f>分部报表!AI8</f>
        <v>0</v>
      </c>
      <c r="AA8" s="332">
        <f>分部报表!AB8</f>
        <v>0</v>
      </c>
      <c r="AB8" s="332">
        <f>分部报表!S8</f>
        <v>0</v>
      </c>
    </row>
    <row r="9" s="311" customFormat="1" spans="1:28">
      <c r="A9" s="328" t="s">
        <v>36</v>
      </c>
      <c r="B9" s="329">
        <f t="shared" si="0"/>
        <v>279140770.44</v>
      </c>
      <c r="C9" s="330">
        <f>分部报表!J9</f>
        <v>3825850.79</v>
      </c>
      <c r="D9" s="330">
        <f>分部报表!I9+分部报表!K9+G9+R9+AA9+AB9</f>
        <v>-279189717.88</v>
      </c>
      <c r="E9" s="326">
        <f>分部报表!T9+分部报表!Q9+分部报表!P9+分部报表!O9</f>
        <v>516443640.69</v>
      </c>
      <c r="F9" s="326">
        <f t="shared" si="1"/>
        <v>74748.65</v>
      </c>
      <c r="G9" s="329">
        <f>分部报表!AK9</f>
        <v>352351.96</v>
      </c>
      <c r="H9" s="329">
        <f>分部报表!AL9</f>
        <v>74748.65</v>
      </c>
      <c r="I9" s="329">
        <f>分部报表!AM9</f>
        <v>0</v>
      </c>
      <c r="J9" s="329">
        <f>分部报表!AJ9</f>
        <v>0</v>
      </c>
      <c r="K9" s="326">
        <f t="shared" si="2"/>
        <v>37998541.77</v>
      </c>
      <c r="L9" s="329">
        <f>分部报表!V9</f>
        <v>213825.61</v>
      </c>
      <c r="M9" s="329">
        <f>分部报表!W9</f>
        <v>-613282.24</v>
      </c>
      <c r="N9" s="329">
        <f>分部报表!AA9</f>
        <v>0</v>
      </c>
      <c r="O9" s="329">
        <f>分部报表!X9</f>
        <v>37499304.24</v>
      </c>
      <c r="P9" s="329">
        <f>分部报表!Z9</f>
        <v>0</v>
      </c>
      <c r="Q9" s="329">
        <f>分部报表!Y9</f>
        <v>898694.16</v>
      </c>
      <c r="R9" s="329">
        <f>分部报表!U9</f>
        <v>12115.96</v>
      </c>
      <c r="S9" s="326">
        <f t="shared" si="3"/>
        <v>-12293.58</v>
      </c>
      <c r="T9" s="329">
        <f>分部报表!AE9</f>
        <v>0</v>
      </c>
      <c r="U9" s="329">
        <f>分部报表!AC9</f>
        <v>-12293.58</v>
      </c>
      <c r="V9" s="329">
        <f>分部报表!AD9</f>
        <v>0</v>
      </c>
      <c r="W9" s="329">
        <f>分部报表!AF9</f>
        <v>0</v>
      </c>
      <c r="X9" s="329">
        <f>分部报表!AG9</f>
        <v>0</v>
      </c>
      <c r="Y9" s="329">
        <f>分部报表!AH9</f>
        <v>0</v>
      </c>
      <c r="Z9" s="329">
        <f>分部报表!AI9</f>
        <v>0</v>
      </c>
      <c r="AA9" s="329">
        <f>分部报表!AB9</f>
        <v>0</v>
      </c>
      <c r="AB9" s="329">
        <f>分部报表!S9</f>
        <v>0</v>
      </c>
    </row>
    <row r="10" s="311" customFormat="1" spans="1:28">
      <c r="A10" s="328" t="s">
        <v>37</v>
      </c>
      <c r="B10" s="329">
        <f t="shared" si="0"/>
        <v>89858109.0399999</v>
      </c>
      <c r="C10" s="330">
        <f>分部报表!J10</f>
        <v>0</v>
      </c>
      <c r="D10" s="330">
        <f>分部报表!I10+分部报表!K10+G10+R10+AA10+AB10</f>
        <v>1051936.82</v>
      </c>
      <c r="E10" s="326">
        <f>分部报表!T10+分部报表!Q10+分部报表!P10+分部报表!O10</f>
        <v>170142.06</v>
      </c>
      <c r="F10" s="326">
        <f t="shared" si="1"/>
        <v>-79396937.05</v>
      </c>
      <c r="G10" s="329">
        <f>分部报表!AK10</f>
        <v>-1418759.68</v>
      </c>
      <c r="H10" s="329">
        <f>分部报表!AL10</f>
        <v>-84624194.59</v>
      </c>
      <c r="I10" s="329">
        <f>分部报表!AM10</f>
        <v>3262115.19</v>
      </c>
      <c r="J10" s="329">
        <f>分部报表!AJ10</f>
        <v>1965142.35</v>
      </c>
      <c r="K10" s="326">
        <f t="shared" si="2"/>
        <v>168032967.21</v>
      </c>
      <c r="L10" s="329">
        <f>分部报表!V10</f>
        <v>70497155.97</v>
      </c>
      <c r="M10" s="329">
        <f>分部报表!W10</f>
        <v>72815337.8</v>
      </c>
      <c r="N10" s="329">
        <f>分部报表!AA10</f>
        <v>1762767.88</v>
      </c>
      <c r="O10" s="329">
        <f>分部报表!X10</f>
        <v>12051011.23</v>
      </c>
      <c r="P10" s="329">
        <f>分部报表!Z10</f>
        <v>12845286.32</v>
      </c>
      <c r="Q10" s="329">
        <f>分部报表!Y10</f>
        <v>-1938591.99</v>
      </c>
      <c r="R10" s="329">
        <f>分部报表!U10</f>
        <v>0</v>
      </c>
      <c r="S10" s="326">
        <f t="shared" si="3"/>
        <v>0</v>
      </c>
      <c r="T10" s="329">
        <f>分部报表!AE10</f>
        <v>0</v>
      </c>
      <c r="U10" s="329">
        <f>分部报表!AC10</f>
        <v>0</v>
      </c>
      <c r="V10" s="329">
        <f>分部报表!AD10</f>
        <v>0</v>
      </c>
      <c r="W10" s="329">
        <f>分部报表!AF10</f>
        <v>0</v>
      </c>
      <c r="X10" s="329">
        <f>分部报表!AG10</f>
        <v>0</v>
      </c>
      <c r="Y10" s="329">
        <f>分部报表!AH10</f>
        <v>0</v>
      </c>
      <c r="Z10" s="329">
        <f>分部报表!AI10</f>
        <v>0</v>
      </c>
      <c r="AA10" s="329">
        <f>分部报表!AB10</f>
        <v>0</v>
      </c>
      <c r="AB10" s="329">
        <f>分部报表!S10</f>
        <v>0</v>
      </c>
    </row>
    <row r="11" s="311" customFormat="1" spans="1:28">
      <c r="A11" s="328" t="s">
        <v>38</v>
      </c>
      <c r="B11" s="329">
        <f t="shared" si="0"/>
        <v>0</v>
      </c>
      <c r="C11" s="330">
        <f>分部报表!J11</f>
        <v>0</v>
      </c>
      <c r="D11" s="330">
        <f>分部报表!I11+分部报表!K11+G11+R11+AA11+AB11</f>
        <v>0</v>
      </c>
      <c r="E11" s="326">
        <f>分部报表!T11+分部报表!Q11+分部报表!P11+分部报表!O11</f>
        <v>0</v>
      </c>
      <c r="F11" s="326">
        <f t="shared" si="1"/>
        <v>0</v>
      </c>
      <c r="G11" s="329">
        <f>分部报表!AK11</f>
        <v>0</v>
      </c>
      <c r="H11" s="329">
        <f>分部报表!AL11</f>
        <v>0</v>
      </c>
      <c r="I11" s="329">
        <f>分部报表!AM11</f>
        <v>0</v>
      </c>
      <c r="J11" s="329">
        <f>分部报表!AJ11</f>
        <v>0</v>
      </c>
      <c r="K11" s="326">
        <f t="shared" si="2"/>
        <v>0</v>
      </c>
      <c r="L11" s="329">
        <f>分部报表!V11</f>
        <v>0</v>
      </c>
      <c r="M11" s="329">
        <f>分部报表!W11</f>
        <v>0</v>
      </c>
      <c r="N11" s="329">
        <f>分部报表!AA11</f>
        <v>0</v>
      </c>
      <c r="O11" s="329">
        <f>分部报表!X11</f>
        <v>0</v>
      </c>
      <c r="P11" s="329">
        <f>分部报表!Z11</f>
        <v>0</v>
      </c>
      <c r="Q11" s="329">
        <f>分部报表!Y11</f>
        <v>0</v>
      </c>
      <c r="R11" s="329">
        <f>分部报表!U11</f>
        <v>0</v>
      </c>
      <c r="S11" s="326">
        <f t="shared" si="3"/>
        <v>0</v>
      </c>
      <c r="T11" s="329">
        <f>分部报表!AE11</f>
        <v>0</v>
      </c>
      <c r="U11" s="329">
        <f>分部报表!AC11</f>
        <v>0</v>
      </c>
      <c r="V11" s="329">
        <f>分部报表!AD11</f>
        <v>0</v>
      </c>
      <c r="W11" s="329">
        <f>分部报表!AF11</f>
        <v>0</v>
      </c>
      <c r="X11" s="329">
        <f>分部报表!AG11</f>
        <v>0</v>
      </c>
      <c r="Y11" s="329">
        <f>分部报表!AH11</f>
        <v>0</v>
      </c>
      <c r="Z11" s="329">
        <f>分部报表!AI11</f>
        <v>0</v>
      </c>
      <c r="AA11" s="329">
        <f>分部报表!AB11</f>
        <v>0</v>
      </c>
      <c r="AB11" s="329">
        <f>分部报表!S11</f>
        <v>0</v>
      </c>
    </row>
    <row r="12" s="311" customFormat="1" spans="1:28">
      <c r="A12" s="328" t="s">
        <v>39</v>
      </c>
      <c r="B12" s="329">
        <f t="shared" si="0"/>
        <v>63941850.76</v>
      </c>
      <c r="C12" s="330">
        <f>分部报表!J12</f>
        <v>0</v>
      </c>
      <c r="D12" s="330">
        <f>分部报表!I12+分部报表!K12+G12+R12+AA12+AB12</f>
        <v>0</v>
      </c>
      <c r="E12" s="326">
        <f>分部报表!T12+分部报表!Q12+分部报表!P12+分部报表!O12</f>
        <v>0</v>
      </c>
      <c r="F12" s="326">
        <f t="shared" si="1"/>
        <v>0</v>
      </c>
      <c r="G12" s="329">
        <f>分部报表!AK12</f>
        <v>0</v>
      </c>
      <c r="H12" s="329">
        <f>分部报表!AL12</f>
        <v>0</v>
      </c>
      <c r="I12" s="329">
        <f>分部报表!AM12</f>
        <v>0</v>
      </c>
      <c r="J12" s="329">
        <f>分部报表!AJ12</f>
        <v>0</v>
      </c>
      <c r="K12" s="326">
        <f t="shared" si="2"/>
        <v>63941850.76</v>
      </c>
      <c r="L12" s="329">
        <f>分部报表!V12</f>
        <v>3723422</v>
      </c>
      <c r="M12" s="329">
        <f>分部报表!W12</f>
        <v>-29947286.9</v>
      </c>
      <c r="N12" s="329">
        <f>分部报表!AA12</f>
        <v>0</v>
      </c>
      <c r="O12" s="329">
        <f>分部报表!X12</f>
        <v>17230486.95</v>
      </c>
      <c r="P12" s="329">
        <f>分部报表!Z12</f>
        <v>65476039.62</v>
      </c>
      <c r="Q12" s="329">
        <f>分部报表!Y12</f>
        <v>7459189.09</v>
      </c>
      <c r="R12" s="329">
        <f>分部报表!U12</f>
        <v>0</v>
      </c>
      <c r="S12" s="326">
        <f t="shared" si="3"/>
        <v>0</v>
      </c>
      <c r="T12" s="329">
        <f>分部报表!AE12</f>
        <v>0</v>
      </c>
      <c r="U12" s="329">
        <f>分部报表!AC12</f>
        <v>0</v>
      </c>
      <c r="V12" s="329">
        <f>分部报表!AD12</f>
        <v>0</v>
      </c>
      <c r="W12" s="329">
        <f>分部报表!AF12</f>
        <v>0</v>
      </c>
      <c r="X12" s="329">
        <f>分部报表!AG12</f>
        <v>0</v>
      </c>
      <c r="Y12" s="329">
        <f>分部报表!AH12</f>
        <v>0</v>
      </c>
      <c r="Z12" s="329">
        <f>分部报表!AI12</f>
        <v>0</v>
      </c>
      <c r="AA12" s="329">
        <f>分部报表!AB12</f>
        <v>0</v>
      </c>
      <c r="AB12" s="329">
        <f>分部报表!S12</f>
        <v>0</v>
      </c>
    </row>
    <row r="13" s="311" customFormat="1" spans="1:28">
      <c r="A13" s="328" t="s">
        <v>40</v>
      </c>
      <c r="B13" s="329">
        <f t="shared" si="0"/>
        <v>-888401.65</v>
      </c>
      <c r="C13" s="330">
        <f>分部报表!J13</f>
        <v>0</v>
      </c>
      <c r="D13" s="330">
        <f>分部报表!I13+分部报表!K13+G13+R13+AA13+AB13</f>
        <v>103302.24</v>
      </c>
      <c r="E13" s="326">
        <f>分部报表!T13+分部报表!Q13+分部报表!P13+分部报表!O13</f>
        <v>-991703.89</v>
      </c>
      <c r="F13" s="326">
        <f t="shared" si="1"/>
        <v>0</v>
      </c>
      <c r="G13" s="329">
        <f>分部报表!AK13</f>
        <v>0</v>
      </c>
      <c r="H13" s="329">
        <f>分部报表!AL13</f>
        <v>0</v>
      </c>
      <c r="I13" s="329">
        <f>分部报表!AM13</f>
        <v>0</v>
      </c>
      <c r="J13" s="329">
        <f>分部报表!AJ13</f>
        <v>0</v>
      </c>
      <c r="K13" s="326">
        <f t="shared" si="2"/>
        <v>0</v>
      </c>
      <c r="L13" s="329">
        <f>分部报表!V13</f>
        <v>0</v>
      </c>
      <c r="M13" s="329">
        <f>分部报表!W13</f>
        <v>0</v>
      </c>
      <c r="N13" s="329">
        <f>分部报表!AA13</f>
        <v>0</v>
      </c>
      <c r="O13" s="329">
        <f>分部报表!X13</f>
        <v>0</v>
      </c>
      <c r="P13" s="329">
        <f>分部报表!Z13</f>
        <v>0</v>
      </c>
      <c r="Q13" s="329">
        <f>分部报表!Y13</f>
        <v>0</v>
      </c>
      <c r="R13" s="329">
        <f>分部报表!U13</f>
        <v>0</v>
      </c>
      <c r="S13" s="326">
        <f t="shared" si="3"/>
        <v>0</v>
      </c>
      <c r="T13" s="329">
        <f>分部报表!AE13</f>
        <v>0</v>
      </c>
      <c r="U13" s="329">
        <f>分部报表!AC13</f>
        <v>0</v>
      </c>
      <c r="V13" s="329">
        <f>分部报表!AD13</f>
        <v>0</v>
      </c>
      <c r="W13" s="329">
        <f>分部报表!AF13</f>
        <v>0</v>
      </c>
      <c r="X13" s="329">
        <f>分部报表!AG13</f>
        <v>0</v>
      </c>
      <c r="Y13" s="329">
        <f>分部报表!AH13</f>
        <v>0</v>
      </c>
      <c r="Z13" s="329">
        <f>分部报表!AI13</f>
        <v>0</v>
      </c>
      <c r="AA13" s="329">
        <f>分部报表!AB13</f>
        <v>0</v>
      </c>
      <c r="AB13" s="329">
        <f>分部报表!S13</f>
        <v>0</v>
      </c>
    </row>
    <row r="14" s="311" customFormat="1" spans="1:28">
      <c r="A14" s="328" t="s">
        <v>41</v>
      </c>
      <c r="B14" s="329">
        <f t="shared" si="0"/>
        <v>7819900.6</v>
      </c>
      <c r="C14" s="330">
        <f>分部报表!J14</f>
        <v>0</v>
      </c>
      <c r="D14" s="330">
        <f>分部报表!I14+分部报表!K14+G14+R14+AA14+AB14</f>
        <v>181.13</v>
      </c>
      <c r="E14" s="326">
        <f>分部报表!T14+分部报表!Q14+分部报表!P14+分部报表!O14</f>
        <v>7819719.47</v>
      </c>
      <c r="F14" s="326">
        <f t="shared" si="1"/>
        <v>0</v>
      </c>
      <c r="G14" s="329">
        <f>分部报表!AK14</f>
        <v>0</v>
      </c>
      <c r="H14" s="329">
        <f>分部报表!AL14</f>
        <v>0</v>
      </c>
      <c r="I14" s="329">
        <f>分部报表!AM14</f>
        <v>0</v>
      </c>
      <c r="J14" s="329">
        <f>分部报表!AJ14</f>
        <v>0</v>
      </c>
      <c r="K14" s="326">
        <f t="shared" si="2"/>
        <v>0</v>
      </c>
      <c r="L14" s="329">
        <f>分部报表!V14</f>
        <v>0</v>
      </c>
      <c r="M14" s="329">
        <f>分部报表!W14</f>
        <v>0</v>
      </c>
      <c r="N14" s="329">
        <f>分部报表!AA14</f>
        <v>0</v>
      </c>
      <c r="O14" s="329">
        <f>分部报表!X14</f>
        <v>0</v>
      </c>
      <c r="P14" s="329">
        <f>分部报表!Z14</f>
        <v>0</v>
      </c>
      <c r="Q14" s="329">
        <f>分部报表!Y14</f>
        <v>0</v>
      </c>
      <c r="R14" s="329">
        <f>分部报表!U14</f>
        <v>0</v>
      </c>
      <c r="S14" s="326">
        <f t="shared" si="3"/>
        <v>0</v>
      </c>
      <c r="T14" s="329">
        <f>分部报表!AE14</f>
        <v>0</v>
      </c>
      <c r="U14" s="329">
        <f>分部报表!AC14</f>
        <v>0</v>
      </c>
      <c r="V14" s="329">
        <f>分部报表!AD14</f>
        <v>0</v>
      </c>
      <c r="W14" s="329">
        <f>分部报表!AF14</f>
        <v>0</v>
      </c>
      <c r="X14" s="329">
        <f>分部报表!AG14</f>
        <v>0</v>
      </c>
      <c r="Y14" s="329">
        <f>分部报表!AH14</f>
        <v>0</v>
      </c>
      <c r="Z14" s="329">
        <f>分部报表!AI14</f>
        <v>0</v>
      </c>
      <c r="AA14" s="329">
        <f>分部报表!AB14</f>
        <v>0</v>
      </c>
      <c r="AB14" s="329">
        <f>分部报表!S14</f>
        <v>181.13</v>
      </c>
    </row>
    <row r="15" s="311" customFormat="1" spans="1:28">
      <c r="A15" s="52" t="s">
        <v>42</v>
      </c>
      <c r="B15" s="333">
        <f t="shared" si="0"/>
        <v>749645691.4</v>
      </c>
      <c r="C15" s="334">
        <f>分部报表!J17</f>
        <v>63161.8</v>
      </c>
      <c r="D15" s="334">
        <f>分部报表!I17+分部报表!K17+G15+R15+AA15+AB15</f>
        <v>182605938.43</v>
      </c>
      <c r="E15" s="326">
        <f>分部报表!T17+分部报表!Q17+分部报表!P17+分部报表!O17</f>
        <v>377388545.8</v>
      </c>
      <c r="F15" s="326">
        <f t="shared" si="1"/>
        <v>13994822.1</v>
      </c>
      <c r="G15" s="333">
        <f>分部报表!AK17</f>
        <v>7815248.99</v>
      </c>
      <c r="H15" s="333">
        <f>分部报表!AL17</f>
        <v>4122177.03</v>
      </c>
      <c r="I15" s="333">
        <f>分部报表!AM17</f>
        <v>3138906.16</v>
      </c>
      <c r="J15" s="333">
        <f>分部报表!AJ17</f>
        <v>6733738.91</v>
      </c>
      <c r="K15" s="326">
        <f t="shared" si="2"/>
        <v>28496502.09</v>
      </c>
      <c r="L15" s="333">
        <f>分部报表!V17</f>
        <v>5071386.3</v>
      </c>
      <c r="M15" s="333">
        <f>分部报表!W17</f>
        <v>4893408.45</v>
      </c>
      <c r="N15" s="333">
        <f>分部报表!AA17</f>
        <v>1881113.23</v>
      </c>
      <c r="O15" s="333">
        <f>分部报表!X17</f>
        <v>7528547.17</v>
      </c>
      <c r="P15" s="333">
        <f>分部报表!Z17</f>
        <v>5186855.07</v>
      </c>
      <c r="Q15" s="333">
        <f>分部报表!Y17</f>
        <v>3935191.87</v>
      </c>
      <c r="R15" s="333">
        <f>分部报表!U17</f>
        <v>10537640.69</v>
      </c>
      <c r="S15" s="326">
        <f t="shared" si="3"/>
        <v>147096721.18</v>
      </c>
      <c r="T15" s="333">
        <f>分部报表!AE17</f>
        <v>11382909.31</v>
      </c>
      <c r="U15" s="333">
        <f>分部报表!AC17</f>
        <v>102427835.26</v>
      </c>
      <c r="V15" s="333">
        <f>分部报表!AD17</f>
        <v>26815049.52</v>
      </c>
      <c r="W15" s="333">
        <f>分部报表!AF17</f>
        <v>3458608.71</v>
      </c>
      <c r="X15" s="333">
        <f>分部报表!AG17</f>
        <v>2386651.68</v>
      </c>
      <c r="Y15" s="333">
        <f>分部报表!AH17</f>
        <v>625666.7</v>
      </c>
      <c r="Z15" s="333">
        <f>分部报表!AI17</f>
        <v>0</v>
      </c>
      <c r="AA15" s="333">
        <f>分部报表!AB17</f>
        <v>6131961.04</v>
      </c>
      <c r="AB15" s="333">
        <f>分部报表!S17</f>
        <v>8377969.07</v>
      </c>
    </row>
    <row r="16" s="311" customFormat="1" spans="1:28">
      <c r="A16" s="335" t="s">
        <v>43</v>
      </c>
      <c r="B16" s="336">
        <f t="shared" si="0"/>
        <v>10214817.1</v>
      </c>
      <c r="C16" s="330">
        <f>分部报表!J18</f>
        <v>0</v>
      </c>
      <c r="D16" s="330">
        <f>分部报表!I18+分部报表!K18+G16+R16+AA16+AB16</f>
        <v>-1363296.3</v>
      </c>
      <c r="E16" s="326">
        <f>分部报表!T18+分部报表!Q18+分部报表!P18+分部报表!O18</f>
        <v>6538618.12</v>
      </c>
      <c r="F16" s="326">
        <f t="shared" si="1"/>
        <v>390827.65</v>
      </c>
      <c r="G16" s="336">
        <f>分部报表!AK18</f>
        <v>107483.13</v>
      </c>
      <c r="H16" s="336">
        <f>分部报表!AL18</f>
        <v>261543.92</v>
      </c>
      <c r="I16" s="336">
        <f>分部报表!AM18</f>
        <v>107701.89</v>
      </c>
      <c r="J16" s="336">
        <f>分部报表!AJ18</f>
        <v>21581.84</v>
      </c>
      <c r="K16" s="326">
        <f t="shared" si="2"/>
        <v>2504367.08</v>
      </c>
      <c r="L16" s="336">
        <f>分部报表!V18</f>
        <v>1757950.14</v>
      </c>
      <c r="M16" s="336">
        <f>分部报表!W18</f>
        <v>635956.82</v>
      </c>
      <c r="N16" s="336">
        <f>分部报表!AA18</f>
        <v>29449.24</v>
      </c>
      <c r="O16" s="336">
        <f>分部报表!X18</f>
        <v>23567.95</v>
      </c>
      <c r="P16" s="336">
        <f>分部报表!Z18</f>
        <v>72286.21</v>
      </c>
      <c r="Q16" s="336">
        <f>分部报表!Y18</f>
        <v>-14843.28</v>
      </c>
      <c r="R16" s="336">
        <f>分部报表!U18</f>
        <v>-33159.47</v>
      </c>
      <c r="S16" s="326">
        <f t="shared" si="3"/>
        <v>2144300.55</v>
      </c>
      <c r="T16" s="336">
        <f>分部报表!AE18</f>
        <v>166724.61</v>
      </c>
      <c r="U16" s="336">
        <f>分部报表!AC18</f>
        <v>1734625.26</v>
      </c>
      <c r="V16" s="336">
        <f>分部报表!AD18</f>
        <v>214380.95</v>
      </c>
      <c r="W16" s="336">
        <f>分部报表!AF18</f>
        <v>29261.83</v>
      </c>
      <c r="X16" s="336">
        <f>分部报表!AG18</f>
        <v>-580.69</v>
      </c>
      <c r="Y16" s="336">
        <f>分部报表!AH18</f>
        <v>-111.41</v>
      </c>
      <c r="Z16" s="336">
        <f>分部报表!AI18</f>
        <v>0</v>
      </c>
      <c r="AA16" s="336">
        <f>分部报表!AB18</f>
        <v>-3524.9</v>
      </c>
      <c r="AB16" s="336">
        <f>分部报表!S18</f>
        <v>-1768.32</v>
      </c>
    </row>
    <row r="17" s="311" customFormat="1" spans="1:28">
      <c r="A17" s="335" t="s">
        <v>44</v>
      </c>
      <c r="B17" s="336">
        <f t="shared" si="0"/>
        <v>729418188.97</v>
      </c>
      <c r="C17" s="330">
        <f>分部报表!J19</f>
        <v>63161.8</v>
      </c>
      <c r="D17" s="330">
        <f>分部报表!I19+分部报表!K19+G17+R17+AA17+AB17</f>
        <v>182131711.4</v>
      </c>
      <c r="E17" s="326">
        <f>分部报表!T19+分部报表!Q19+分部报表!P19+分部报表!O19</f>
        <v>362674765.68</v>
      </c>
      <c r="F17" s="326">
        <f t="shared" si="1"/>
        <v>13603994.45</v>
      </c>
      <c r="G17" s="336">
        <f>分部报表!AK19</f>
        <v>7707765.86</v>
      </c>
      <c r="H17" s="336">
        <f>分部报表!AL19</f>
        <v>3860633.11</v>
      </c>
      <c r="I17" s="336">
        <f>分部报表!AM19</f>
        <v>3031204.27</v>
      </c>
      <c r="J17" s="336">
        <f>分部报表!AJ19</f>
        <v>6712157.07</v>
      </c>
      <c r="K17" s="326">
        <f t="shared" si="2"/>
        <v>25992135.01</v>
      </c>
      <c r="L17" s="336">
        <f>分部报表!V19</f>
        <v>3313436.16</v>
      </c>
      <c r="M17" s="336">
        <f>分部报表!W19</f>
        <v>4257451.63</v>
      </c>
      <c r="N17" s="336">
        <f>分部报表!AA19</f>
        <v>1851663.99</v>
      </c>
      <c r="O17" s="336">
        <f>分部报表!X19</f>
        <v>7504979.22</v>
      </c>
      <c r="P17" s="336">
        <f>分部报表!Z19</f>
        <v>5114568.86</v>
      </c>
      <c r="Q17" s="336">
        <f>分部报表!Y19</f>
        <v>3950035.15</v>
      </c>
      <c r="R17" s="336">
        <f>分部报表!U19</f>
        <v>10570800.16</v>
      </c>
      <c r="S17" s="326">
        <f t="shared" si="3"/>
        <v>144952420.63</v>
      </c>
      <c r="T17" s="336">
        <f>分部报表!AE19</f>
        <v>11216184.7</v>
      </c>
      <c r="U17" s="336">
        <f>分部报表!AC19</f>
        <v>100693210</v>
      </c>
      <c r="V17" s="336">
        <f>分部报表!AD19</f>
        <v>26600668.57</v>
      </c>
      <c r="W17" s="336">
        <f>分部报表!AF19</f>
        <v>3429346.88</v>
      </c>
      <c r="X17" s="336">
        <f>分部报表!AG19</f>
        <v>2387232.37</v>
      </c>
      <c r="Y17" s="336">
        <f>分部报表!AH19</f>
        <v>625778.11</v>
      </c>
      <c r="Z17" s="336">
        <f>分部报表!AI19</f>
        <v>0</v>
      </c>
      <c r="AA17" s="336">
        <f>分部报表!AB19</f>
        <v>6135485.94</v>
      </c>
      <c r="AB17" s="336">
        <f>分部报表!S19</f>
        <v>8379737.39</v>
      </c>
    </row>
    <row r="18" s="311" customFormat="1" spans="1:28">
      <c r="A18" s="335" t="s">
        <v>45</v>
      </c>
      <c r="B18" s="336">
        <f t="shared" si="0"/>
        <v>5748754.72</v>
      </c>
      <c r="C18" s="330">
        <f>分部报表!J20</f>
        <v>0</v>
      </c>
      <c r="D18" s="330">
        <f>分部报表!I20+分部报表!K20+G18+R18+AA18+AB18</f>
        <v>1837523.33</v>
      </c>
      <c r="E18" s="326">
        <f>分部报表!T20+分部报表!Q20+分部报表!P20+分部报表!O20</f>
        <v>3911231.39</v>
      </c>
      <c r="F18" s="326">
        <f t="shared" si="1"/>
        <v>0</v>
      </c>
      <c r="G18" s="336">
        <f>分部报表!AK20</f>
        <v>0</v>
      </c>
      <c r="H18" s="336">
        <f>分部报表!AL20</f>
        <v>0</v>
      </c>
      <c r="I18" s="336">
        <f>分部报表!AM20</f>
        <v>0</v>
      </c>
      <c r="J18" s="336">
        <f>分部报表!AJ20</f>
        <v>0</v>
      </c>
      <c r="K18" s="326">
        <f t="shared" si="2"/>
        <v>0</v>
      </c>
      <c r="L18" s="336">
        <f>分部报表!V20</f>
        <v>0</v>
      </c>
      <c r="M18" s="336">
        <f>分部报表!W20</f>
        <v>0</v>
      </c>
      <c r="N18" s="336">
        <f>分部报表!AA20</f>
        <v>0</v>
      </c>
      <c r="O18" s="336">
        <f>分部报表!X20</f>
        <v>0</v>
      </c>
      <c r="P18" s="336">
        <f>分部报表!Z20</f>
        <v>0</v>
      </c>
      <c r="Q18" s="336">
        <f>分部报表!Y20</f>
        <v>0</v>
      </c>
      <c r="R18" s="336">
        <f>分部报表!U20</f>
        <v>0</v>
      </c>
      <c r="S18" s="326">
        <f t="shared" si="3"/>
        <v>0</v>
      </c>
      <c r="T18" s="336">
        <f>分部报表!AE20</f>
        <v>0</v>
      </c>
      <c r="U18" s="336">
        <f>分部报表!AC20</f>
        <v>0</v>
      </c>
      <c r="V18" s="336">
        <f>分部报表!AD20</f>
        <v>0</v>
      </c>
      <c r="W18" s="336">
        <f>分部报表!AF20</f>
        <v>0</v>
      </c>
      <c r="X18" s="336">
        <f>分部报表!AG20</f>
        <v>0</v>
      </c>
      <c r="Y18" s="336">
        <f>分部报表!AH20</f>
        <v>0</v>
      </c>
      <c r="Z18" s="336">
        <f>分部报表!AI20</f>
        <v>0</v>
      </c>
      <c r="AA18" s="336">
        <f>分部报表!AB20</f>
        <v>0</v>
      </c>
      <c r="AB18" s="336">
        <f>分部报表!S20</f>
        <v>0</v>
      </c>
    </row>
    <row r="19" s="311" customFormat="1" spans="1:28">
      <c r="A19" s="335" t="s">
        <v>46</v>
      </c>
      <c r="B19" s="336">
        <f t="shared" si="0"/>
        <v>4263930.61</v>
      </c>
      <c r="C19" s="330">
        <f>分部报表!J21</f>
        <v>0</v>
      </c>
      <c r="D19" s="330">
        <f>分部报表!I21+分部报表!K21+G19+R19+AA19+AB19</f>
        <v>0</v>
      </c>
      <c r="E19" s="326">
        <f>分部报表!T21+分部报表!Q21+分部报表!P21+分部报表!O21</f>
        <v>4263930.61</v>
      </c>
      <c r="F19" s="326">
        <f t="shared" si="1"/>
        <v>0</v>
      </c>
      <c r="G19" s="336">
        <f>分部报表!AK21</f>
        <v>0</v>
      </c>
      <c r="H19" s="336">
        <f>分部报表!AL21</f>
        <v>0</v>
      </c>
      <c r="I19" s="336">
        <f>分部报表!AM21</f>
        <v>0</v>
      </c>
      <c r="J19" s="336">
        <f>分部报表!AJ21</f>
        <v>0</v>
      </c>
      <c r="K19" s="326">
        <f t="shared" si="2"/>
        <v>0</v>
      </c>
      <c r="L19" s="336">
        <f>分部报表!V21</f>
        <v>0</v>
      </c>
      <c r="M19" s="336">
        <f>分部报表!W21</f>
        <v>0</v>
      </c>
      <c r="N19" s="336">
        <f>分部报表!AA21</f>
        <v>0</v>
      </c>
      <c r="O19" s="336">
        <f>分部报表!X21</f>
        <v>0</v>
      </c>
      <c r="P19" s="336">
        <f>分部报表!Z21</f>
        <v>0</v>
      </c>
      <c r="Q19" s="336">
        <f>分部报表!Y21</f>
        <v>0</v>
      </c>
      <c r="R19" s="336">
        <f>分部报表!U21</f>
        <v>0</v>
      </c>
      <c r="S19" s="326">
        <f t="shared" si="3"/>
        <v>0</v>
      </c>
      <c r="T19" s="336">
        <f>分部报表!AE21</f>
        <v>0</v>
      </c>
      <c r="U19" s="336">
        <f>分部报表!AC21</f>
        <v>0</v>
      </c>
      <c r="V19" s="336">
        <f>分部报表!AD21</f>
        <v>0</v>
      </c>
      <c r="W19" s="336">
        <f>分部报表!AF21</f>
        <v>0</v>
      </c>
      <c r="X19" s="336">
        <f>分部报表!AG21</f>
        <v>0</v>
      </c>
      <c r="Y19" s="336">
        <f>分部报表!AH21</f>
        <v>0</v>
      </c>
      <c r="Z19" s="336">
        <f>分部报表!AI21</f>
        <v>0</v>
      </c>
      <c r="AA19" s="336">
        <f>分部报表!AB21</f>
        <v>0</v>
      </c>
      <c r="AB19" s="336">
        <f>分部报表!S21</f>
        <v>0</v>
      </c>
    </row>
    <row r="20" s="311" customFormat="1" spans="1:28">
      <c r="A20" s="52" t="s">
        <v>47</v>
      </c>
      <c r="B20" s="333">
        <f t="shared" si="0"/>
        <v>497895679.52</v>
      </c>
      <c r="C20" s="334">
        <f>分部报表!J22</f>
        <v>3762638.99</v>
      </c>
      <c r="D20" s="334">
        <f>分部报表!I22+分部报表!K22+G20+R20+AA20+AB20</f>
        <v>-445872259.42</v>
      </c>
      <c r="E20" s="326">
        <f>分部报表!T22+分部报表!Q22+分部报表!P22+分部报表!O22</f>
        <v>583565640.83</v>
      </c>
      <c r="F20" s="326">
        <f t="shared" si="1"/>
        <v>-38866359.26</v>
      </c>
      <c r="G20" s="333">
        <f>分部报表!AK22</f>
        <v>6283359.1</v>
      </c>
      <c r="H20" s="333">
        <f>分部报表!AL22</f>
        <v>-52252567.69</v>
      </c>
      <c r="I20" s="333">
        <f>分部报表!AM22</f>
        <v>15093911.65</v>
      </c>
      <c r="J20" s="333">
        <f>分部报表!AJ22</f>
        <v>-1707703.22</v>
      </c>
      <c r="K20" s="326">
        <f t="shared" si="2"/>
        <v>242807677.45</v>
      </c>
      <c r="L20" s="333">
        <f>分部报表!V22</f>
        <v>67270665.12</v>
      </c>
      <c r="M20" s="333">
        <f>分部报表!W22</f>
        <v>37810710.49</v>
      </c>
      <c r="N20" s="333">
        <f>分部报表!AA22</f>
        <v>2660287.91</v>
      </c>
      <c r="O20" s="333">
        <f>分部报表!X22</f>
        <v>59466661.61</v>
      </c>
      <c r="P20" s="333">
        <f>分部报表!Z22</f>
        <v>73134470.87</v>
      </c>
      <c r="Q20" s="333">
        <f>分部报表!Y22</f>
        <v>2464881.45</v>
      </c>
      <c r="R20" s="333">
        <f>分部报表!U22</f>
        <v>-10528246.73</v>
      </c>
      <c r="S20" s="326">
        <f t="shared" si="3"/>
        <v>152498340.93</v>
      </c>
      <c r="T20" s="333">
        <f>分部报表!AE22</f>
        <v>11867611.99</v>
      </c>
      <c r="U20" s="333">
        <f>分部报表!AC22</f>
        <v>139726592.27</v>
      </c>
      <c r="V20" s="333">
        <f>分部报表!AD22</f>
        <v>3294403.36</v>
      </c>
      <c r="W20" s="333">
        <f>分部报表!AF22</f>
        <v>622051.69</v>
      </c>
      <c r="X20" s="333">
        <f>分部报表!AG22</f>
        <v>-2386651.68</v>
      </c>
      <c r="Y20" s="333">
        <f>分部报表!AH22</f>
        <v>-625666.7</v>
      </c>
      <c r="Z20" s="333">
        <f>分部报表!AI22</f>
        <v>0</v>
      </c>
      <c r="AA20" s="333">
        <f>分部报表!AB22</f>
        <v>-5565923.31</v>
      </c>
      <c r="AB20" s="333">
        <f>分部报表!S22</f>
        <v>-8377787.94</v>
      </c>
    </row>
    <row r="21" s="311" customFormat="1" spans="1:28">
      <c r="A21" s="335" t="s">
        <v>48</v>
      </c>
      <c r="B21" s="336">
        <f t="shared" si="0"/>
        <v>5514986.33</v>
      </c>
      <c r="C21" s="330">
        <f>分部报表!J23</f>
        <v>666421.88</v>
      </c>
      <c r="D21" s="330">
        <f>分部报表!I23+分部报表!K23+G21+R21+AA21+AB21</f>
        <v>4155163.79</v>
      </c>
      <c r="E21" s="326">
        <f>分部报表!T23+分部报表!Q23+分部报表!P23+分部报表!O23</f>
        <v>693400.66</v>
      </c>
      <c r="F21" s="326">
        <f t="shared" si="1"/>
        <v>0</v>
      </c>
      <c r="G21" s="336">
        <f>分部报表!AK23</f>
        <v>10290.96</v>
      </c>
      <c r="H21" s="336">
        <f>分部报表!AL23</f>
        <v>0</v>
      </c>
      <c r="I21" s="336">
        <f>分部报表!AM23</f>
        <v>0</v>
      </c>
      <c r="J21" s="336">
        <f>分部报表!AJ23</f>
        <v>0</v>
      </c>
      <c r="K21" s="326">
        <f t="shared" si="2"/>
        <v>0</v>
      </c>
      <c r="L21" s="336">
        <f>分部报表!V23</f>
        <v>0</v>
      </c>
      <c r="M21" s="336">
        <f>分部报表!W23</f>
        <v>0</v>
      </c>
      <c r="N21" s="336">
        <f>分部报表!AA23</f>
        <v>0</v>
      </c>
      <c r="O21" s="336">
        <f>分部报表!X23</f>
        <v>0</v>
      </c>
      <c r="P21" s="336">
        <f>分部报表!Z23</f>
        <v>0</v>
      </c>
      <c r="Q21" s="336">
        <f>分部报表!Y23</f>
        <v>0</v>
      </c>
      <c r="R21" s="336">
        <f>分部报表!U23</f>
        <v>2145.93</v>
      </c>
      <c r="S21" s="326">
        <f t="shared" si="3"/>
        <v>0</v>
      </c>
      <c r="T21" s="336">
        <f>分部报表!AE23</f>
        <v>0</v>
      </c>
      <c r="U21" s="336">
        <f>分部报表!AC23</f>
        <v>0</v>
      </c>
      <c r="V21" s="336">
        <f>分部报表!AD23</f>
        <v>0</v>
      </c>
      <c r="W21" s="336">
        <f>分部报表!AF23</f>
        <v>0</v>
      </c>
      <c r="X21" s="336">
        <f>分部报表!AG23</f>
        <v>0</v>
      </c>
      <c r="Y21" s="336">
        <f>分部报表!AH23</f>
        <v>0</v>
      </c>
      <c r="Z21" s="336">
        <f>分部报表!AI23</f>
        <v>0</v>
      </c>
      <c r="AA21" s="336">
        <f>分部报表!AB23</f>
        <v>0</v>
      </c>
      <c r="AB21" s="336">
        <f>分部报表!S23</f>
        <v>0</v>
      </c>
    </row>
    <row r="22" s="311" customFormat="1" spans="1:28">
      <c r="A22" s="335" t="s">
        <v>49</v>
      </c>
      <c r="B22" s="336">
        <f t="shared" si="0"/>
        <v>10074373.77</v>
      </c>
      <c r="C22" s="330">
        <f>分部报表!J24</f>
        <v>0</v>
      </c>
      <c r="D22" s="330">
        <f>分部报表!I24+分部报表!K24+G22+R22+AA22+AB22</f>
        <v>8765051.97</v>
      </c>
      <c r="E22" s="326">
        <f>分部报表!T24+分部报表!Q24+分部报表!P24+分部报表!O24</f>
        <v>1278484.3</v>
      </c>
      <c r="F22" s="326">
        <f t="shared" si="1"/>
        <v>8337.5</v>
      </c>
      <c r="G22" s="336">
        <f>分部报表!AK24</f>
        <v>0</v>
      </c>
      <c r="H22" s="336">
        <f>分部报表!AL24</f>
        <v>0</v>
      </c>
      <c r="I22" s="336">
        <f>分部报表!AM24</f>
        <v>7500</v>
      </c>
      <c r="J22" s="336">
        <f>分部报表!AJ24</f>
        <v>837.5</v>
      </c>
      <c r="K22" s="326">
        <f t="shared" si="2"/>
        <v>22500</v>
      </c>
      <c r="L22" s="336">
        <f>分部报表!V24</f>
        <v>7500</v>
      </c>
      <c r="M22" s="336">
        <f>分部报表!W24</f>
        <v>7500</v>
      </c>
      <c r="N22" s="336">
        <f>分部报表!AA24</f>
        <v>7500</v>
      </c>
      <c r="O22" s="336">
        <f>分部报表!X24</f>
        <v>0</v>
      </c>
      <c r="P22" s="336">
        <f>分部报表!Z24</f>
        <v>0</v>
      </c>
      <c r="Q22" s="336">
        <f>分部报表!Y24</f>
        <v>0</v>
      </c>
      <c r="R22" s="336">
        <f>分部报表!U24</f>
        <v>2822.67</v>
      </c>
      <c r="S22" s="326">
        <f t="shared" si="3"/>
        <v>0</v>
      </c>
      <c r="T22" s="336">
        <f>分部报表!AE24</f>
        <v>0</v>
      </c>
      <c r="U22" s="336">
        <f>分部报表!AC24</f>
        <v>0</v>
      </c>
      <c r="V22" s="336">
        <f>分部报表!AD24</f>
        <v>0</v>
      </c>
      <c r="W22" s="336">
        <f>分部报表!AF24</f>
        <v>0</v>
      </c>
      <c r="X22" s="336">
        <f>分部报表!AG24</f>
        <v>0</v>
      </c>
      <c r="Y22" s="336">
        <f>分部报表!AH24</f>
        <v>0</v>
      </c>
      <c r="Z22" s="336">
        <f>分部报表!AI24</f>
        <v>0</v>
      </c>
      <c r="AA22" s="336">
        <f>分部报表!AB24</f>
        <v>0</v>
      </c>
      <c r="AB22" s="336">
        <f>分部报表!S24</f>
        <v>0</v>
      </c>
    </row>
    <row r="23" s="311" customFormat="1" spans="1:28">
      <c r="A23" s="52" t="s">
        <v>50</v>
      </c>
      <c r="B23" s="333">
        <f t="shared" si="0"/>
        <v>493336292.08</v>
      </c>
      <c r="C23" s="334">
        <f>分部报表!J25</f>
        <v>4429060.87</v>
      </c>
      <c r="D23" s="334">
        <f>分部报表!I25+分部报表!K25+G23+R23+AA23+AB23</f>
        <v>-450482147.6</v>
      </c>
      <c r="E23" s="326">
        <f>分部报表!T25+分部报表!Q25+分部报表!P25+分部报表!O25</f>
        <v>582980557.19</v>
      </c>
      <c r="F23" s="326">
        <f t="shared" si="1"/>
        <v>-38874696.76</v>
      </c>
      <c r="G23" s="333">
        <f>分部报表!AK25</f>
        <v>6293650.06</v>
      </c>
      <c r="H23" s="333">
        <f>分部报表!AL25</f>
        <v>-52252567.69</v>
      </c>
      <c r="I23" s="333">
        <f>分部报表!AM25</f>
        <v>15086411.65</v>
      </c>
      <c r="J23" s="333">
        <f>分部报表!AJ25</f>
        <v>-1708540.72</v>
      </c>
      <c r="K23" s="326">
        <f t="shared" si="2"/>
        <v>242785177.45</v>
      </c>
      <c r="L23" s="333">
        <f>分部报表!V25</f>
        <v>67263165.12</v>
      </c>
      <c r="M23" s="333">
        <f>分部报表!W25</f>
        <v>37803210.49</v>
      </c>
      <c r="N23" s="333">
        <f>分部报表!AA25</f>
        <v>2652787.91</v>
      </c>
      <c r="O23" s="333">
        <f>分部报表!X25</f>
        <v>59466661.61</v>
      </c>
      <c r="P23" s="333">
        <f>分部报表!Z25</f>
        <v>73134470.87</v>
      </c>
      <c r="Q23" s="333">
        <f>分部报表!Y25</f>
        <v>2464881.45</v>
      </c>
      <c r="R23" s="333">
        <f>分部报表!U25</f>
        <v>-10528923.47</v>
      </c>
      <c r="S23" s="326">
        <f t="shared" si="3"/>
        <v>152498340.93</v>
      </c>
      <c r="T23" s="333">
        <f>分部报表!AE25</f>
        <v>11867611.99</v>
      </c>
      <c r="U23" s="333">
        <f>分部报表!AC25</f>
        <v>139726592.27</v>
      </c>
      <c r="V23" s="333">
        <f>分部报表!AD25</f>
        <v>3294403.36</v>
      </c>
      <c r="W23" s="333">
        <f>分部报表!AF25</f>
        <v>622051.69</v>
      </c>
      <c r="X23" s="333">
        <f>分部报表!AG25</f>
        <v>-2386651.68</v>
      </c>
      <c r="Y23" s="333">
        <f>分部报表!AH25</f>
        <v>-625666.7</v>
      </c>
      <c r="Z23" s="333">
        <f>分部报表!AI25</f>
        <v>0</v>
      </c>
      <c r="AA23" s="333">
        <f>分部报表!AB25</f>
        <v>-5565923.31</v>
      </c>
      <c r="AB23" s="333">
        <f>分部报表!S25</f>
        <v>-8377787.94</v>
      </c>
    </row>
    <row r="24" s="311" customFormat="1" spans="1:28">
      <c r="A24" s="335" t="s">
        <v>51</v>
      </c>
      <c r="B24" s="336">
        <f t="shared" si="0"/>
        <v>106959580.57</v>
      </c>
      <c r="C24" s="330">
        <f>分部报表!J26</f>
        <v>0</v>
      </c>
      <c r="D24" s="330">
        <f>分部报表!I26+分部报表!K26+G24+R24+AA24+AB24</f>
        <v>106958786.67</v>
      </c>
      <c r="E24" s="326">
        <f>分部报表!T26+分部报表!Q26+分部报表!P26+分部报表!O26</f>
        <v>793.9</v>
      </c>
      <c r="F24" s="326">
        <f t="shared" si="1"/>
        <v>0</v>
      </c>
      <c r="G24" s="336">
        <f>分部报表!AK26</f>
        <v>0</v>
      </c>
      <c r="H24" s="336">
        <f>分部报表!AL26</f>
        <v>0</v>
      </c>
      <c r="I24" s="336">
        <f>分部报表!AM26</f>
        <v>0</v>
      </c>
      <c r="J24" s="336">
        <f>分部报表!AJ26</f>
        <v>0</v>
      </c>
      <c r="K24" s="326">
        <f t="shared" si="2"/>
        <v>0</v>
      </c>
      <c r="L24" s="336">
        <f>分部报表!V26</f>
        <v>0</v>
      </c>
      <c r="M24" s="336">
        <f>分部报表!W26</f>
        <v>0</v>
      </c>
      <c r="N24" s="336">
        <f>分部报表!AA26</f>
        <v>0</v>
      </c>
      <c r="O24" s="336">
        <f>分部报表!X26</f>
        <v>0</v>
      </c>
      <c r="P24" s="336">
        <f>分部报表!Z26</f>
        <v>0</v>
      </c>
      <c r="Q24" s="336">
        <f>分部报表!Y26</f>
        <v>0</v>
      </c>
      <c r="R24" s="336">
        <f>分部报表!U26</f>
        <v>0</v>
      </c>
      <c r="S24" s="326">
        <f t="shared" si="3"/>
        <v>0</v>
      </c>
      <c r="T24" s="336">
        <f>分部报表!AE26</f>
        <v>0</v>
      </c>
      <c r="U24" s="336">
        <f>分部报表!AC26</f>
        <v>0</v>
      </c>
      <c r="V24" s="336">
        <f>分部报表!AD26</f>
        <v>0</v>
      </c>
      <c r="W24" s="336">
        <f>分部报表!AF26</f>
        <v>0</v>
      </c>
      <c r="X24" s="336">
        <f>分部报表!AG26</f>
        <v>0</v>
      </c>
      <c r="Y24" s="336">
        <f>分部报表!AH26</f>
        <v>0</v>
      </c>
      <c r="Z24" s="336">
        <f>分部报表!AI26</f>
        <v>0</v>
      </c>
      <c r="AA24" s="336">
        <f>分部报表!AB26</f>
        <v>0</v>
      </c>
      <c r="AB24" s="336">
        <f>分部报表!S26</f>
        <v>0</v>
      </c>
    </row>
    <row r="25" s="311" customFormat="1" spans="1:28">
      <c r="A25" s="52" t="s">
        <v>52</v>
      </c>
      <c r="B25" s="333">
        <f t="shared" si="0"/>
        <v>386376711.51</v>
      </c>
      <c r="C25" s="334">
        <f>分部报表!J27</f>
        <v>4429060.87</v>
      </c>
      <c r="D25" s="334">
        <f>分部报表!I27+分部报表!K27+G25+R25+AA25+AB25</f>
        <v>-557440934.27</v>
      </c>
      <c r="E25" s="326">
        <f>分部报表!T27+分部报表!Q27+分部报表!P27+分部报表!O27</f>
        <v>582979763.29</v>
      </c>
      <c r="F25" s="326">
        <f t="shared" si="1"/>
        <v>-38874696.76</v>
      </c>
      <c r="G25" s="333">
        <f>分部报表!AK27</f>
        <v>6293650.06</v>
      </c>
      <c r="H25" s="333">
        <f>分部报表!AL27</f>
        <v>-52252567.69</v>
      </c>
      <c r="I25" s="333">
        <f>分部报表!AM27</f>
        <v>15086411.65</v>
      </c>
      <c r="J25" s="333">
        <f>分部报表!AJ27</f>
        <v>-1708540.72</v>
      </c>
      <c r="K25" s="326">
        <f t="shared" si="2"/>
        <v>242785177.45</v>
      </c>
      <c r="L25" s="333">
        <f>分部报表!V27</f>
        <v>67263165.12</v>
      </c>
      <c r="M25" s="333">
        <f>分部报表!W27</f>
        <v>37803210.49</v>
      </c>
      <c r="N25" s="333">
        <f>分部报表!AA27</f>
        <v>2652787.91</v>
      </c>
      <c r="O25" s="333">
        <f>分部报表!X27</f>
        <v>59466661.61</v>
      </c>
      <c r="P25" s="333">
        <f>分部报表!Z27</f>
        <v>73134470.87</v>
      </c>
      <c r="Q25" s="333">
        <f>分部报表!Y27</f>
        <v>2464881.45</v>
      </c>
      <c r="R25" s="333">
        <f>分部报表!U27</f>
        <v>-10528923.47</v>
      </c>
      <c r="S25" s="326">
        <f t="shared" si="3"/>
        <v>152498340.93</v>
      </c>
      <c r="T25" s="333">
        <f>分部报表!AE27</f>
        <v>11867611.99</v>
      </c>
      <c r="U25" s="333">
        <f>分部报表!AC27</f>
        <v>139726592.27</v>
      </c>
      <c r="V25" s="333">
        <f>分部报表!AD27</f>
        <v>3294403.36</v>
      </c>
      <c r="W25" s="333">
        <f>分部报表!AF27</f>
        <v>622051.69</v>
      </c>
      <c r="X25" s="333">
        <f>分部报表!AG27</f>
        <v>-2386651.68</v>
      </c>
      <c r="Y25" s="333">
        <f>分部报表!AH27</f>
        <v>-625666.7</v>
      </c>
      <c r="Z25" s="333">
        <f>分部报表!AI27</f>
        <v>0</v>
      </c>
      <c r="AA25" s="333">
        <f>分部报表!AB27</f>
        <v>-5565923.31</v>
      </c>
      <c r="AB25" s="333">
        <f>分部报表!S27</f>
        <v>-8377787.94</v>
      </c>
    </row>
    <row r="26" s="311" customFormat="1" spans="1:28">
      <c r="A26" s="337" t="s">
        <v>53</v>
      </c>
      <c r="B26" s="338">
        <f t="shared" si="0"/>
        <v>-152956214.48</v>
      </c>
      <c r="C26" s="338">
        <f>分部报表!J30</f>
        <v>0</v>
      </c>
      <c r="D26" s="334">
        <f>分部报表!I30+分部报表!K30+G26+R26+AA26+AB26</f>
        <v>42378427.44</v>
      </c>
      <c r="E26" s="326">
        <f>分部报表!T30+分部报表!Q30+分部报表!P30+分部报表!O30</f>
        <v>1329348.3</v>
      </c>
      <c r="F26" s="326">
        <f t="shared" si="1"/>
        <v>-199128984.64</v>
      </c>
      <c r="G26" s="338">
        <f>分部报表!AK30</f>
        <v>42378427.44</v>
      </c>
      <c r="H26" s="338">
        <f>分部报表!AL30</f>
        <v>-196083899.57</v>
      </c>
      <c r="I26" s="338">
        <f>分部报表!AM30</f>
        <v>834906.92</v>
      </c>
      <c r="J26" s="338">
        <f>分部报表!AJ30</f>
        <v>-3879991.99</v>
      </c>
      <c r="K26" s="326">
        <f t="shared" si="2"/>
        <v>2464994.42</v>
      </c>
      <c r="L26" s="338">
        <f>分部报表!V30</f>
        <v>-6364994.9</v>
      </c>
      <c r="M26" s="338">
        <f>分部报表!W30</f>
        <v>0</v>
      </c>
      <c r="N26" s="338">
        <f>分部报表!AA30</f>
        <v>0</v>
      </c>
      <c r="O26" s="338">
        <f>分部报表!X30</f>
        <v>8829989.32</v>
      </c>
      <c r="P26" s="338">
        <f>分部报表!Z30</f>
        <v>0</v>
      </c>
      <c r="Q26" s="338">
        <f>分部报表!Y30</f>
        <v>0</v>
      </c>
      <c r="R26" s="338">
        <f>分部报表!U30</f>
        <v>0</v>
      </c>
      <c r="S26" s="326">
        <f t="shared" si="3"/>
        <v>0</v>
      </c>
      <c r="T26" s="338">
        <f>分部报表!AE30</f>
        <v>0</v>
      </c>
      <c r="U26" s="338">
        <f>分部报表!AC30</f>
        <v>0</v>
      </c>
      <c r="V26" s="338">
        <f>分部报表!AD30</f>
        <v>0</v>
      </c>
      <c r="W26" s="338">
        <f>分部报表!AF30</f>
        <v>0</v>
      </c>
      <c r="X26" s="338">
        <f>分部报表!AG30</f>
        <v>0</v>
      </c>
      <c r="Y26" s="338">
        <f>分部报表!AH30</f>
        <v>0</v>
      </c>
      <c r="Z26" s="338">
        <f>分部报表!AI28</f>
        <v>0</v>
      </c>
      <c r="AA26" s="338">
        <f>分部报表!AB30</f>
        <v>0</v>
      </c>
      <c r="AB26" s="338">
        <f>分部报表!S30</f>
        <v>0</v>
      </c>
    </row>
    <row r="27" s="311" customFormat="1" ht="14.25" spans="1:28">
      <c r="A27" s="54" t="s">
        <v>54</v>
      </c>
      <c r="B27" s="339">
        <f t="shared" si="0"/>
        <v>233420497.03</v>
      </c>
      <c r="C27" s="339">
        <f>C25+C26</f>
        <v>4429060.87</v>
      </c>
      <c r="D27" s="339">
        <f>D25+D26</f>
        <v>-515062506.83</v>
      </c>
      <c r="E27" s="339">
        <f t="shared" ref="E27:AB27" si="4">E25+E26</f>
        <v>584309111.59</v>
      </c>
      <c r="F27" s="339">
        <f t="shared" si="1"/>
        <v>-238003681.4</v>
      </c>
      <c r="G27" s="339">
        <f t="shared" si="4"/>
        <v>48672077.5</v>
      </c>
      <c r="H27" s="339">
        <f t="shared" si="4"/>
        <v>-248336467.26</v>
      </c>
      <c r="I27" s="339">
        <f t="shared" si="4"/>
        <v>15921318.57</v>
      </c>
      <c r="J27" s="339">
        <f t="shared" si="4"/>
        <v>-5588532.71</v>
      </c>
      <c r="K27" s="339">
        <f t="shared" si="4"/>
        <v>245250171.87</v>
      </c>
      <c r="L27" s="339">
        <f t="shared" si="4"/>
        <v>60898170.22</v>
      </c>
      <c r="M27" s="339">
        <f t="shared" si="4"/>
        <v>37803210.49</v>
      </c>
      <c r="N27" s="339">
        <f t="shared" si="4"/>
        <v>2652787.91</v>
      </c>
      <c r="O27" s="339">
        <f t="shared" si="4"/>
        <v>68296650.93</v>
      </c>
      <c r="P27" s="339">
        <f t="shared" si="4"/>
        <v>73134470.87</v>
      </c>
      <c r="Q27" s="339">
        <f t="shared" si="4"/>
        <v>2464881.45</v>
      </c>
      <c r="R27" s="339">
        <f t="shared" si="4"/>
        <v>-10528923.47</v>
      </c>
      <c r="S27" s="339">
        <f t="shared" si="4"/>
        <v>152498340.93</v>
      </c>
      <c r="T27" s="339">
        <f t="shared" si="4"/>
        <v>11867611.99</v>
      </c>
      <c r="U27" s="339">
        <f t="shared" si="4"/>
        <v>139726592.27</v>
      </c>
      <c r="V27" s="339">
        <f t="shared" si="4"/>
        <v>3294403.36</v>
      </c>
      <c r="W27" s="339">
        <f t="shared" si="4"/>
        <v>622051.69</v>
      </c>
      <c r="X27" s="339">
        <f t="shared" si="4"/>
        <v>-2386651.68</v>
      </c>
      <c r="Y27" s="339">
        <f t="shared" si="4"/>
        <v>-625666.7</v>
      </c>
      <c r="Z27" s="339">
        <f t="shared" si="4"/>
        <v>0</v>
      </c>
      <c r="AA27" s="339">
        <f t="shared" si="4"/>
        <v>-5565923.31</v>
      </c>
      <c r="AB27" s="339">
        <f t="shared" si="4"/>
        <v>-8377787.94</v>
      </c>
    </row>
    <row r="28" s="312" customFormat="1" ht="12" spans="2:28">
      <c r="B28" s="340">
        <f>B26/0.75</f>
        <v>-203941619.306667</v>
      </c>
      <c r="C28" s="340">
        <f t="shared" ref="C28:AB28" si="5">C26/0.75</f>
        <v>0</v>
      </c>
      <c r="D28" s="340">
        <f t="shared" si="5"/>
        <v>56504569.92</v>
      </c>
      <c r="E28" s="341">
        <f t="shared" si="5"/>
        <v>1772464.4</v>
      </c>
      <c r="F28" s="340">
        <f t="shared" si="5"/>
        <v>-265505312.853333</v>
      </c>
      <c r="G28" s="341">
        <f t="shared" si="5"/>
        <v>56504569.92</v>
      </c>
      <c r="H28" s="341">
        <f t="shared" si="5"/>
        <v>-261445199.426667</v>
      </c>
      <c r="I28" s="340">
        <f t="shared" si="5"/>
        <v>1113209.22666667</v>
      </c>
      <c r="J28" s="341">
        <f t="shared" si="5"/>
        <v>-5173322.65333333</v>
      </c>
      <c r="K28" s="340">
        <f t="shared" si="5"/>
        <v>3286659.22666667</v>
      </c>
      <c r="L28" s="358">
        <f t="shared" si="5"/>
        <v>-8486659.86666667</v>
      </c>
      <c r="M28" s="340">
        <f t="shared" si="5"/>
        <v>0</v>
      </c>
      <c r="N28" s="340">
        <f t="shared" si="5"/>
        <v>0</v>
      </c>
      <c r="O28" s="341">
        <f t="shared" si="5"/>
        <v>11773319.0933333</v>
      </c>
      <c r="P28" s="340">
        <f t="shared" si="5"/>
        <v>0</v>
      </c>
      <c r="Q28" s="340">
        <f t="shared" si="5"/>
        <v>0</v>
      </c>
      <c r="R28" s="340">
        <f t="shared" si="5"/>
        <v>0</v>
      </c>
      <c r="S28" s="340">
        <f t="shared" si="5"/>
        <v>0</v>
      </c>
      <c r="T28" s="340">
        <f t="shared" si="5"/>
        <v>0</v>
      </c>
      <c r="U28" s="340">
        <f t="shared" si="5"/>
        <v>0</v>
      </c>
      <c r="V28" s="340">
        <f t="shared" si="5"/>
        <v>0</v>
      </c>
      <c r="W28" s="340">
        <f t="shared" si="5"/>
        <v>0</v>
      </c>
      <c r="X28" s="340">
        <f t="shared" si="5"/>
        <v>0</v>
      </c>
      <c r="Y28" s="340">
        <f t="shared" si="5"/>
        <v>0</v>
      </c>
      <c r="Z28" s="340">
        <f t="shared" si="5"/>
        <v>0</v>
      </c>
      <c r="AA28" s="340">
        <f t="shared" si="5"/>
        <v>0</v>
      </c>
      <c r="AB28" s="340">
        <f t="shared" si="5"/>
        <v>0</v>
      </c>
    </row>
    <row r="29" s="312" customFormat="1" ht="12" spans="1:27">
      <c r="A29" s="312" t="s">
        <v>55</v>
      </c>
      <c r="B29" s="342"/>
      <c r="C29" s="343"/>
      <c r="D29" s="340"/>
      <c r="E29" s="340"/>
      <c r="F29" s="342">
        <f>F27-(H27+I27+J27+G27)</f>
        <v>-48672077.5</v>
      </c>
      <c r="G29" s="343">
        <f>G28+H28+考核调整事项表!C396+考核调整事项表!C400</f>
        <v>-0.0166666495788377</v>
      </c>
      <c r="H29" s="340"/>
      <c r="I29" s="340"/>
      <c r="J29" s="340"/>
      <c r="K29" s="342">
        <f>K27-SUM(L27:R27)</f>
        <v>10528923.47</v>
      </c>
      <c r="L29" s="340"/>
      <c r="M29" s="340"/>
      <c r="N29" s="340"/>
      <c r="O29" s="340"/>
      <c r="P29" s="340"/>
      <c r="Q29" s="340"/>
      <c r="R29" s="340"/>
      <c r="S29" s="342">
        <f>S27-SUM(T27:Z27)</f>
        <v>0</v>
      </c>
      <c r="T29" s="340"/>
      <c r="U29" s="340"/>
      <c r="V29" s="340"/>
      <c r="W29" s="340"/>
      <c r="X29" s="340"/>
      <c r="Y29" s="340"/>
      <c r="Z29" s="340"/>
      <c r="AA29" s="340"/>
    </row>
    <row r="30" s="311" customFormat="1" ht="14.25" customHeight="1" spans="1:27">
      <c r="A30" s="312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>
        <f>L28+L29</f>
        <v>-8486659.86666667</v>
      </c>
      <c r="M30" s="340"/>
      <c r="N30" s="340"/>
      <c r="O30" s="340"/>
      <c r="P30" s="340"/>
      <c r="Q30" s="340"/>
      <c r="R30" s="340"/>
      <c r="S30" s="340"/>
      <c r="T30" s="340"/>
      <c r="U30" s="340"/>
      <c r="V30" s="340"/>
      <c r="W30" s="340"/>
      <c r="X30" s="340"/>
      <c r="Y30" s="340"/>
      <c r="Z30" s="340"/>
      <c r="AA30" s="340"/>
    </row>
    <row r="31" s="311" customFormat="1" ht="14.25" spans="1:27">
      <c r="A31" s="344" t="s">
        <v>56</v>
      </c>
      <c r="B31" s="345"/>
      <c r="C31" s="345"/>
      <c r="D31" s="345"/>
      <c r="E31" s="345">
        <f>E33-[3]累计利润调整表!$E$33</f>
        <v>779019.656566039</v>
      </c>
      <c r="F31" s="345"/>
      <c r="G31" s="345">
        <f>G33-[4]累计利润调整表!$I$33</f>
        <v>-770742.032924546</v>
      </c>
      <c r="H31" s="345">
        <f>H33-[4]累计利润调整表!$G$33</f>
        <v>373260.509433955</v>
      </c>
      <c r="I31" s="345">
        <f>I33-[4]累计利润调整表!$H$33</f>
        <v>346858.43</v>
      </c>
      <c r="J31" s="345">
        <f>J33-[4]累计利润调整表!$J$33</f>
        <v>69249.7999999989</v>
      </c>
      <c r="K31" s="345"/>
      <c r="L31" s="345">
        <f>L33-[5]累计利润调整表!$B$33</f>
        <v>1500</v>
      </c>
      <c r="M31" s="345">
        <f>M33-[5]累计利润调整表!$C$33</f>
        <v>1499.99547169916</v>
      </c>
      <c r="N31" s="345">
        <f>N33-[5]累计利润调整表!$D$33</f>
        <v>13758.4399999998</v>
      </c>
      <c r="O31" s="345">
        <f>O33-[6]累计利润调整表!$O$33</f>
        <v>58325.2499999925</v>
      </c>
      <c r="P31" s="345">
        <f>P33-[6]累计利润调整表!$P$33</f>
        <v>48802077.14</v>
      </c>
      <c r="Q31" s="345">
        <f>Q33-[6]累计利润调整表!$Q$33</f>
        <v>-18000031.5558491</v>
      </c>
      <c r="R31" s="345"/>
      <c r="S31" s="345"/>
      <c r="T31" s="345">
        <f>T33-[7]累计利润调整表!$Q$33</f>
        <v>-159999.999999998</v>
      </c>
      <c r="U31" s="345">
        <f>U33-[8]累计利润调整表!$R$64</f>
        <v>-242154427.53</v>
      </c>
      <c r="V31" s="345"/>
      <c r="W31" s="345">
        <f>W33-[7]累计利润调整表!$W$33</f>
        <v>0</v>
      </c>
      <c r="X31" s="345"/>
      <c r="Y31" s="345"/>
      <c r="Z31" s="345"/>
      <c r="AA31" s="345"/>
    </row>
    <row r="32" s="311" customFormat="1" ht="14.25" customHeight="1" spans="1:28">
      <c r="A32" s="28" t="s">
        <v>3</v>
      </c>
      <c r="B32" s="28" t="str">
        <f>B3</f>
        <v>合计</v>
      </c>
      <c r="C32" s="28" t="str">
        <f t="shared" ref="C32:V32" si="6">C3</f>
        <v>其他</v>
      </c>
      <c r="D32" s="28" t="str">
        <f t="shared" si="6"/>
        <v>总部中后台</v>
      </c>
      <c r="E32" s="28" t="str">
        <f t="shared" si="6"/>
        <v>经纪业务部</v>
      </c>
      <c r="F32" s="28" t="str">
        <f t="shared" si="6"/>
        <v>资管业务</v>
      </c>
      <c r="G32" s="33" t="str">
        <f t="shared" si="6"/>
        <v>资产管理部</v>
      </c>
      <c r="H32" s="33" t="str">
        <f t="shared" si="6"/>
        <v>权益产品投资部</v>
      </c>
      <c r="I32" s="33" t="str">
        <f t="shared" si="6"/>
        <v>固收产品投资部</v>
      </c>
      <c r="J32" s="33" t="str">
        <f t="shared" si="6"/>
        <v>量化产品投资部</v>
      </c>
      <c r="K32" s="28" t="str">
        <f t="shared" si="6"/>
        <v>深分公司合计</v>
      </c>
      <c r="L32" s="33" t="str">
        <f t="shared" si="6"/>
        <v>固定收益投资部</v>
      </c>
      <c r="M32" s="33" t="str">
        <f t="shared" si="6"/>
        <v>固定收益市场部</v>
      </c>
      <c r="N32" s="33" t="str">
        <f t="shared" si="6"/>
        <v>投顾业务部</v>
      </c>
      <c r="O32" s="33" t="str">
        <f t="shared" si="6"/>
        <v>证券投资部</v>
      </c>
      <c r="P32" s="33" t="str">
        <f t="shared" si="6"/>
        <v>做市业务部</v>
      </c>
      <c r="Q32" s="33" t="str">
        <f t="shared" si="6"/>
        <v>金融衍生品部</v>
      </c>
      <c r="R32" s="33" t="str">
        <f t="shared" si="6"/>
        <v>深圳管理部</v>
      </c>
      <c r="S32" s="28" t="str">
        <f t="shared" si="6"/>
        <v>投资银行合计</v>
      </c>
      <c r="T32" s="33" t="str">
        <f t="shared" si="6"/>
        <v>投资银行三部</v>
      </c>
      <c r="U32" s="33" t="str">
        <f t="shared" si="6"/>
        <v>投资银行一部</v>
      </c>
      <c r="V32" s="33" t="str">
        <f t="shared" si="6"/>
        <v>投资银行二部</v>
      </c>
      <c r="W32" s="33" t="s">
        <v>25</v>
      </c>
      <c r="X32" s="33" t="s">
        <v>26</v>
      </c>
      <c r="Y32" s="33" t="s">
        <v>27</v>
      </c>
      <c r="Z32" s="33" t="s">
        <v>28</v>
      </c>
      <c r="AA32" s="28" t="s">
        <v>29</v>
      </c>
      <c r="AB32" s="28" t="s">
        <v>57</v>
      </c>
    </row>
    <row r="33" s="313" customFormat="1" spans="1:28">
      <c r="A33" s="346" t="s">
        <v>31</v>
      </c>
      <c r="B33" s="347">
        <f>B34+B38+B39+B41+B42+B43</f>
        <v>-203941619.3</v>
      </c>
      <c r="C33" s="347">
        <f t="shared" ref="C33:L33" si="7">C34+C38+C39+C41+C42+C43</f>
        <v>37694248.5164151</v>
      </c>
      <c r="D33" s="347">
        <f t="shared" si="7"/>
        <v>-3178472.13990147</v>
      </c>
      <c r="E33" s="347">
        <f t="shared" si="7"/>
        <v>37533218.266566</v>
      </c>
      <c r="F33" s="347">
        <f t="shared" si="7"/>
        <v>-229221471.260566</v>
      </c>
      <c r="G33" s="347">
        <f t="shared" si="7"/>
        <v>9518998.20532075</v>
      </c>
      <c r="H33" s="347">
        <f t="shared" si="7"/>
        <v>-214765141.510566</v>
      </c>
      <c r="I33" s="347">
        <f t="shared" si="7"/>
        <v>-2070635.02</v>
      </c>
      <c r="J33" s="347">
        <f t="shared" si="7"/>
        <v>-12385694.73</v>
      </c>
      <c r="K33" s="347">
        <f t="shared" si="7"/>
        <v>-55796151.697</v>
      </c>
      <c r="L33" s="347">
        <f t="shared" si="7"/>
        <v>-15685139.11</v>
      </c>
      <c r="M33" s="347">
        <f t="shared" ref="M33:T33" si="8">M34+M38+M39+M41+M42+M43</f>
        <v>-4692806.927</v>
      </c>
      <c r="N33" s="347">
        <f t="shared" si="8"/>
        <v>1033588.01</v>
      </c>
      <c r="O33" s="347">
        <f t="shared" si="8"/>
        <v>17144530.39</v>
      </c>
      <c r="P33" s="347">
        <f t="shared" si="8"/>
        <v>-50428523.99</v>
      </c>
      <c r="Q33" s="347">
        <f t="shared" si="8"/>
        <v>-3167800.07</v>
      </c>
      <c r="R33" s="347">
        <f t="shared" si="8"/>
        <v>0</v>
      </c>
      <c r="S33" s="347">
        <f t="shared" si="8"/>
        <v>9027009.01448638</v>
      </c>
      <c r="T33" s="347">
        <f t="shared" si="8"/>
        <v>-2005208.87056604</v>
      </c>
      <c r="U33" s="347">
        <f t="shared" ref="U33:AB33" si="9">U34+U38+U39+U41+U42+U43</f>
        <v>11461461.2183857</v>
      </c>
      <c r="V33" s="347">
        <f t="shared" si="9"/>
        <v>160666.666666667</v>
      </c>
      <c r="W33" s="347">
        <f t="shared" si="9"/>
        <v>-589910</v>
      </c>
      <c r="X33" s="347">
        <f t="shared" si="9"/>
        <v>0</v>
      </c>
      <c r="Y33" s="347">
        <f t="shared" si="9"/>
        <v>0</v>
      </c>
      <c r="Z33" s="347">
        <f t="shared" si="9"/>
        <v>0</v>
      </c>
      <c r="AA33" s="347">
        <f t="shared" si="9"/>
        <v>-566037.73</v>
      </c>
      <c r="AB33" s="347">
        <f t="shared" si="9"/>
        <v>0</v>
      </c>
    </row>
    <row r="34" s="313" customFormat="1" spans="1:28">
      <c r="A34" s="41" t="s">
        <v>58</v>
      </c>
      <c r="B34" s="348">
        <f>SUM(C34:F34)+K34+S34</f>
        <v>0</v>
      </c>
      <c r="C34" s="349">
        <f>SUM(C35:C37)+SUMIFS(考核调整事项表!$C:$C,考核调整事项表!$B:$B,累计利润调整表!$A34,考核调整事项表!$D:$D,C$3)+SUMIFS(考核调整事项表!$E:$E,考核调整事项表!$B:$B,累计利润调整表!$A34,考核调整事项表!$F:$F,C$3)</f>
        <v>-9302980.8735849</v>
      </c>
      <c r="D34" s="349">
        <f>SUM(D35:D37)+SUMIFS(考核调整事项表!$C:$C,考核调整事项表!$B:$B,累计利润调整表!$A34,考核调整事项表!$D:$D,D$3)+SUMIFS(考核调整事项表!$E:$E,考核调整事项表!$B:$B,累计利润调整表!$A34,考核调整事项表!$F:$F,D$3)</f>
        <v>7545737.39532075</v>
      </c>
      <c r="E34" s="349">
        <f>SUM(E35:E37)+SUMIFS(考核调整事项表!$C:$C,考核调整事项表!$B:$B,累计利润调整表!$A34,考核调整事项表!$D:$D,E$3)+SUMIFS(考核调整事项表!$E:$E,考核调整事项表!$B:$B,累计利润调整表!$A34,考核调整事项表!$F:$F,E$3)</f>
        <v>6607871.78656604</v>
      </c>
      <c r="F34" s="349">
        <f>SUM(F35:F37)+SUMIFS(考核调整事项表!$C:$C,考核调整事项表!$B:$B,累计利润调整表!$A34,考核调整事项表!$D:$D,F$3)+SUMIFS(考核调整事项表!$E:$E,考核调整事项表!$B:$B,累计利润调整表!$A34,考核调整事项表!$F:$F,F$3)</f>
        <v>-9075479.37056604</v>
      </c>
      <c r="G34" s="349">
        <f>SUM(G35:G37)+SUMIFS(考核调整事项表!$C:$C,考核调整事项表!$B:$B,累计利润调整表!$A34,考核调整事项表!$D:$D,G$3)+SUMIFS(考核调整事项表!$E:$E,考核调整事项表!$B:$B,累计利润调整表!$A34,考核调整事项表!$F:$F,G$3)</f>
        <v>8111775.12532075</v>
      </c>
      <c r="H34" s="349">
        <f>SUM(H35:H37)+SUMIFS(考核调整事项表!$C:$C,考核调整事项表!$B:$B,累计利润调整表!$A34,考核调整事项表!$D:$D,H$3)+SUMIFS(考核调整事项表!$E:$E,考核调整事项表!$B:$B,累计利润调整表!$A34,考核调整事项表!$F:$F,H$3)</f>
        <v>-5755639.49056604</v>
      </c>
      <c r="I34" s="349">
        <f>SUM(I35:I37)+SUMIFS(考核调整事项表!$C:$C,考核调整事项表!$B:$B,累计利润调整表!$A34,考核调整事项表!$D:$D,I$3)+SUMIFS(考核调整事项表!$E:$E,考核调整事项表!$B:$B,累计利润调整表!$A34,考核调整事项表!$F:$F,I$3)</f>
        <v>-3202725.53</v>
      </c>
      <c r="J34" s="349">
        <f>SUM(J35:J37)+SUMIFS(考核调整事项表!$C:$C,考核调整事项表!$B:$B,累计利润调整表!$A34,考核调整事项表!$D:$D,J$3)+SUMIFS(考核调整事项表!$E:$E,考核调整事项表!$B:$B,累计利润调整表!$A34,考核调整事项表!$F:$F,J$3)</f>
        <v>-117114.35</v>
      </c>
      <c r="K34" s="348">
        <f>SUM(K35:K37)</f>
        <v>-2161054.6</v>
      </c>
      <c r="L34" s="349">
        <f>SUM(L35:L37)+SUMIFS(考核调整事项表!$C:$C,考核调整事项表!$B:$B,累计利润调整表!$A34,考核调整事项表!$D:$D,L$3)+SUMIFS(考核调整事项表!$E:$E,考核调整事项表!$B:$B,累计利润调整表!$A34,考核调整事项表!$F:$F,L$3)</f>
        <v>-230700</v>
      </c>
      <c r="M34" s="349">
        <f>SUM(M35:M37)+SUMIFS(考核调整事项表!$C:$C,考核调整事项表!$B:$B,累计利润调整表!$A34,考核调整事项表!$D:$D,M$3)+SUMIFS(考核调整事项表!$E:$E,考核调整事项表!$B:$B,累计利润调整表!$A34,考核调整事项表!$F:$F,M$3)</f>
        <v>2605092.05</v>
      </c>
      <c r="N34" s="349">
        <f>SUM(N35:N37)+SUMIFS(考核调整事项表!$C:$C,考核调整事项表!$B:$B,累计利润调整表!$A34,考核调整事项表!$D:$D,N$3)+SUMIFS(考核调整事项表!$E:$E,考核调整事项表!$B:$B,累计利润调整表!$A34,考核调整事项表!$F:$F,N$3)</f>
        <v>1334789.2</v>
      </c>
      <c r="O34" s="349">
        <f>SUM(O35:O37)+SUMIFS(考核调整事项表!$C:$C,考核调整事项表!$B:$B,累计利润调整表!$A34,考核调整事项表!$D:$D,O$3)+SUMIFS(考核调整事项表!$E:$E,考核调整事项表!$B:$B,累计利润调整表!$A34,考核调整事项表!$F:$F,O$3)</f>
        <v>-5158835.85</v>
      </c>
      <c r="P34" s="349">
        <f>SUM(P35:P37)+SUMIFS(考核调整事项表!$C:$C,考核调整事项表!$B:$B,累计利润调整表!$A34,考核调整事项表!$D:$D,P$3)+SUMIFS(考核调整事项表!$E:$E,考核调整事项表!$B:$B,累计利润调整表!$A34,考核调整事项表!$F:$F,P$3)</f>
        <v>-566500</v>
      </c>
      <c r="Q34" s="349">
        <f>SUM(Q35:Q37)+SUMIFS(考核调整事项表!$C:$C,考核调整事项表!$B:$B,累计利润调整表!$A34,考核调整事项表!$D:$D,Q$3)+SUMIFS(考核调整事项表!$E:$E,考核调整事项表!$B:$B,累计利润调整表!$A34,考核调整事项表!$F:$F,Q$3)</f>
        <v>-144900</v>
      </c>
      <c r="R34" s="349">
        <f>SUM(R35:R37)+SUMIFS(考核调整事项表!$C:$C,考核调整事项表!$B:$B,累计利润调整表!$A34,考核调整事项表!$D:$D,R$3)+SUMIFS(考核调整事项表!$E:$E,考核调整事项表!$B:$B,累计利润调整表!$A34,考核调整事项表!$F:$F,R$3)</f>
        <v>0</v>
      </c>
      <c r="S34" s="348">
        <f>SUM(T34:Z34)</f>
        <v>6385905.66226415</v>
      </c>
      <c r="T34" s="349">
        <f>SUM(T35:T37)+SUMIFS(考核调整事项表!$C:$C,考核调整事项表!$B:$B,累计利润调整表!$A34,考核调整事项表!$D:$D,T$3)+SUMIFS(考核调整事项表!$E:$E,考核调整事项表!$B:$B,累计利润调整表!$A34,考核调整事项表!$F:$F,T$3)</f>
        <v>-1940000.00056604</v>
      </c>
      <c r="U34" s="349">
        <f>SUM(U35:U37)+SUMIFS(考核调整事项表!$C:$C,考核调整事项表!$B:$B,累计利润调整表!$A34,考核调整事项表!$D:$D,U$3)+SUMIFS(考核调整事项表!$E:$E,考核调整事项表!$B:$B,累计利润调整表!$A34,考核调整事项表!$F:$F,U$3)</f>
        <v>8325905.66283019</v>
      </c>
      <c r="V34" s="349">
        <f>SUM(V35:V37)+SUMIFS(考核调整事项表!$C:$C,考核调整事项表!$B:$B,累计利润调整表!$A34,考核调整事项表!$D:$D,V$3)+SUMIFS(考核调整事项表!$E:$E,考核调整事项表!$B:$B,累计利润调整表!$A34,考核调整事项表!$F:$F,V$3)</f>
        <v>0</v>
      </c>
      <c r="W34" s="349">
        <f>SUM(W35:W37)+SUMIFS(考核调整事项表!$C:$C,考核调整事项表!$B:$B,累计利润调整表!$A34,考核调整事项表!$D:$D,W$3)+SUMIFS(考核调整事项表!$E:$E,考核调整事项表!$B:$B,累计利润调整表!$A34,考核调整事项表!$F:$F,W$3)</f>
        <v>0</v>
      </c>
      <c r="X34" s="349">
        <f>SUM(X35:X37)+SUMIFS(考核调整事项表!$C:$C,考核调整事项表!$B:$B,累计利润调整表!$A34,考核调整事项表!$D:$D,X$3)+SUMIFS(考核调整事项表!$E:$E,考核调整事项表!$B:$B,累计利润调整表!$A34,考核调整事项表!$F:$F,X$3)</f>
        <v>0</v>
      </c>
      <c r="Y34" s="348">
        <f>SUM(Y35:Y37)</f>
        <v>0</v>
      </c>
      <c r="Z34" s="348">
        <f>SUM(Z35:Z37)</f>
        <v>0</v>
      </c>
      <c r="AA34" s="348">
        <f>SUM(AA35:AA37)</f>
        <v>-566037.73</v>
      </c>
      <c r="AB34" s="348">
        <f>SUM(AB35:AB37)</f>
        <v>0</v>
      </c>
    </row>
    <row r="35" s="313" customFormat="1" spans="1:28">
      <c r="A35" s="350" t="s">
        <v>33</v>
      </c>
      <c r="B35" s="348">
        <f t="shared" ref="B35:B55" si="10">SUM(C35:F35)+K35+S35</f>
        <v>0</v>
      </c>
      <c r="C35" s="349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349">
        <f>SUMIFS(考核调整事项表!$C:$C,考核调整事项表!$B:$B,累计利润调整表!$A35,考核调整事项表!$D:$D,D$3)+SUMIFS(考核调整事项表!$E:$E,考核调整事项表!$B:$B,累计利润调整表!$A35,考核调整事项表!$F:$F,D$3)+G35+R35+AA35+AB35</f>
        <v>0</v>
      </c>
      <c r="E35" s="349">
        <f>SUMIFS(考核调整事项表!$C:$C,考核调整事项表!$B:$B,累计利润调整表!$A35,考核调整事项表!$D:$D,E$3)+SUMIFS(考核调整事项表!$E:$E,考核调整事项表!$B:$B,累计利润调整表!$A35,考核调整事项表!$F:$F,E$3)</f>
        <v>-2059872.05</v>
      </c>
      <c r="F35" s="349">
        <f>SUM(H35:J35)</f>
        <v>37735.85</v>
      </c>
      <c r="G35" s="349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349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349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349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348">
        <f>SUM(L35:Q35)</f>
        <v>2022136.2</v>
      </c>
      <c r="L35" s="349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349">
        <f>SUMIFS(考核调整事项表!$C:$C,考核调整事项表!$B:$B,累计利润调整表!$A35,考核调整事项表!$D:$D,M$3)+SUMIFS(考核调整事项表!$E:$E,考核调整事项表!$B:$B,累计利润调整表!$A35,考核调整事项表!$F:$F,M$3)</f>
        <v>2171981.13</v>
      </c>
      <c r="N35" s="349">
        <f>SUMIFS(考核调整事项表!$C:$C,考核调整事项表!$B:$B,累计利润调整表!$A35,考核调整事项表!$D:$D,N$3)+SUMIFS(考核调整事项表!$E:$E,考核调整事项表!$B:$B,累计利润调整表!$A35,考核调整事项表!$F:$F,N$3)</f>
        <v>-112109.08</v>
      </c>
      <c r="O35" s="349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349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349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349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348">
        <f t="shared" ref="S35:S55" si="11">SUM(T35:Z35)</f>
        <v>0</v>
      </c>
      <c r="T35" s="349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349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349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349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349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349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349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349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349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</row>
    <row r="36" s="313" customFormat="1" spans="1:28">
      <c r="A36" s="350" t="s">
        <v>34</v>
      </c>
      <c r="B36" s="348">
        <f t="shared" si="10"/>
        <v>0</v>
      </c>
      <c r="C36" s="349">
        <f>SUMIFS(考核调整事项表!$C:$C,考核调整事项表!$B:$B,累计利润调整表!$A36,考核调整事项表!$D:$D,C$3)+SUMIFS(考核调整事项表!$E:$E,考核调整事项表!$B:$B,累计利润调整表!$A36,考核调整事项表!$F:$F,C$3)</f>
        <v>-10878966.4235849</v>
      </c>
      <c r="D36" s="349">
        <f>SUMIFS(考核调整事项表!$C:$C,考核调整事项表!$B:$B,累计利润调整表!$A36,考核调整事项表!$D:$D,D$3)+SUMIFS(考核调整事项表!$E:$E,考核调整事项表!$B:$B,累计利润调整表!$A36,考核调整事项表!$F:$F,D$3)+G36+R36+AA36+AB36</f>
        <v>-681554.673396226</v>
      </c>
      <c r="E36" s="349">
        <f>SUMIFS(考核调整事项表!$C:$C,考核调整事项表!$B:$B,累计利润调整表!$A36,考核调整事项表!$D:$D,E$3)+SUMIFS(考核调整事项表!$E:$E,考核调整事项表!$B:$B,累计利润调整表!$A36,考核调整事项表!$F:$F,E$3)</f>
        <v>5514238.08471698</v>
      </c>
      <c r="F36" s="349">
        <f t="shared" ref="F36:F43" si="12">SUM(H36:J36)</f>
        <v>0</v>
      </c>
      <c r="G36" s="349">
        <f>SUMIFS(考核调整事项表!$C:$C,考核调整事项表!$B:$B,累计利润调整表!$A36,考核调整事项表!$D:$D,G$3)+SUMIFS(考核调整事项表!$E:$E,考核调整事项表!$B:$B,累计利润调整表!$A36,考核调整事项表!$F:$F,G$3)</f>
        <v>-115516.943396226</v>
      </c>
      <c r="H36" s="349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349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349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348">
        <f t="shared" ref="K36:K55" si="13">SUM(L36:Q36)</f>
        <v>18867.92</v>
      </c>
      <c r="L36" s="349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349">
        <f>SUMIFS(考核调整事项表!$C:$C,考核调整事项表!$B:$B,累计利润调整表!$A36,考核调整事项表!$D:$D,M$3)+SUMIFS(考核调整事项表!$E:$E,考核调整事项表!$B:$B,累计利润调整表!$A36,考核调整事项表!$F:$F,M$3)</f>
        <v>18867.92</v>
      </c>
      <c r="N36" s="349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349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349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349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349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348">
        <f t="shared" si="11"/>
        <v>6027415.09226415</v>
      </c>
      <c r="T36" s="349">
        <f>SUMIFS(考核调整事项表!$C:$C,考核调整事项表!$B:$B,累计利润调整表!$A36,考核调整事项表!$D:$D,T$3)+SUMIFS(考核调整事项表!$E:$E,考核调整事项表!$B:$B,累计利润调整表!$A36,考核调整事项表!$F:$F,T$3)</f>
        <v>-1940000.00056604</v>
      </c>
      <c r="U36" s="349">
        <f>SUMIFS(考核调整事项表!$C:$C,考核调整事项表!$B:$B,累计利润调整表!$A36,考核调整事项表!$D:$D,U$3)+SUMIFS(考核调整事项表!$E:$E,考核调整事项表!$B:$B,累计利润调整表!$A36,考核调整事项表!$F:$F,U$3)</f>
        <v>7967415.09283019</v>
      </c>
      <c r="V36" s="349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349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349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  <c r="Y36" s="349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349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349">
        <f>SUMIFS(考核调整事项表!$C:$C,考核调整事项表!$B:$B,累计利润调整表!$A36,考核调整事项表!$D:$D,AA$3)+SUMIFS(考核调整事项表!$E:$E,考核调整事项表!$B:$B,累计利润调整表!$A36,考核调整事项表!$F:$F,AA$3)</f>
        <v>-566037.73</v>
      </c>
      <c r="AB36" s="349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</row>
    <row r="37" s="313" customFormat="1" spans="1:28">
      <c r="A37" s="350" t="s">
        <v>35</v>
      </c>
      <c r="B37" s="348">
        <f t="shared" si="10"/>
        <v>1.57160684466362e-9</v>
      </c>
      <c r="C37" s="351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349">
        <f>SUMIFS(考核调整事项表!$C:$C,考核调整事项表!$B:$B,累计利润调整表!$A37,考核调整事项表!$D:$D,D$3)+SUMIFS(考核调整事项表!$E:$E,考核调整事项表!$B:$B,累计利润调整表!$A37,考核调整事项表!$F:$F,D$3)+G37+R37+AA37+AB37</f>
        <v>8227292.06871698</v>
      </c>
      <c r="E37" s="351">
        <f>SUMIFS(考核调整事项表!$C:$C,考核调整事项表!$B:$B,累计利润调整表!$A37,考核调整事项表!$D:$D,E$3)+SUMIFS(考核调整事项表!$E:$E,考核调整事项表!$B:$B,累计利润调整表!$A37,考核调整事项表!$F:$F,E$3)</f>
        <v>3153505.75184906</v>
      </c>
      <c r="F37" s="349">
        <f t="shared" si="12"/>
        <v>-9113215.22056604</v>
      </c>
      <c r="G37" s="351">
        <f>SUMIFS(考核调整事项表!$C:$C,考核调整事项表!$B:$B,累计利润调整表!$A37,考核调整事项表!$D:$D,G$3)+SUMIFS(考核调整事项表!$E:$E,考核调整事项表!$B:$B,累计利润调整表!$A37,考核调整事项表!$F:$F,G$3)</f>
        <v>8227292.06871698</v>
      </c>
      <c r="H37" s="351">
        <f>SUMIFS(考核调整事项表!$C:$C,考核调整事项表!$B:$B,累计利润调整表!$A37,考核调整事项表!$D:$D,H$3)+SUMIFS(考核调整事项表!$E:$E,考核调整事项表!$B:$B,累计利润调整表!$A37,考核调整事项表!$F:$F,H$3)</f>
        <v>-5755639.49056604</v>
      </c>
      <c r="I37" s="351">
        <f>SUMIFS(考核调整事项表!$C:$C,考核调整事项表!$B:$B,累计利润调整表!$A37,考核调整事项表!$D:$D,I$3)+SUMIFS(考核调整事项表!$E:$E,考核调整事项表!$B:$B,累计利润调整表!$A37,考核调整事项表!$F:$F,I$3)</f>
        <v>-3202725.53</v>
      </c>
      <c r="J37" s="351">
        <f>SUMIFS(考核调整事项表!$C:$C,考核调整事项表!$B:$B,累计利润调整表!$A37,考核调整事项表!$D:$D,J$3)+SUMIFS(考核调整事项表!$E:$E,考核调整事项表!$B:$B,累计利润调整表!$A37,考核调整事项表!$F:$F,J$3)</f>
        <v>-154850.2</v>
      </c>
      <c r="K37" s="348">
        <f t="shared" si="13"/>
        <v>-4202058.72</v>
      </c>
      <c r="L37" s="351">
        <f>SUMIFS(考核调整事项表!$C:$C,考核调整事项表!$B:$B,累计利润调整表!$A37,考核调整事项表!$D:$D,L$3)+SUMIFS(考核调整事项表!$E:$E,考核调整事项表!$B:$B,累计利润调整表!$A37,考核调整事项表!$F:$F,L$3)</f>
        <v>-230700</v>
      </c>
      <c r="M37" s="351">
        <f>SUMIFS(考核调整事项表!$C:$C,考核调整事项表!$B:$B,累计利润调整表!$A37,考核调整事项表!$D:$D,M$3)+SUMIFS(考核调整事项表!$E:$E,考核调整事项表!$B:$B,累计利润调整表!$A37,考核调整事项表!$F:$F,M$3)</f>
        <v>-236700</v>
      </c>
      <c r="N37" s="351">
        <f>SUMIFS(考核调整事项表!$C:$C,考核调整事项表!$B:$B,累计利润调整表!$A37,考核调整事项表!$D:$D,N$3)+SUMIFS(考核调整事项表!$E:$E,考核调整事项表!$B:$B,累计利润调整表!$A37,考核调整事项表!$F:$F,N$3)</f>
        <v>2097841.28</v>
      </c>
      <c r="O37" s="351">
        <f>SUMIFS(考核调整事项表!$C:$C,考核调整事项表!$B:$B,累计利润调整表!$A37,考核调整事项表!$D:$D,O$3)+SUMIFS(考核调整事项表!$E:$E,考核调整事项表!$B:$B,累计利润调整表!$A37,考核调整事项表!$F:$F,O$3)</f>
        <v>-5121100</v>
      </c>
      <c r="P37" s="351">
        <f>SUMIFS(考核调整事项表!$C:$C,考核调整事项表!$B:$B,累计利润调整表!$A37,考核调整事项表!$D:$D,P$3)+SUMIFS(考核调整事项表!$E:$E,考核调整事项表!$B:$B,累计利润调整表!$A37,考核调整事项表!$F:$F,P$3)</f>
        <v>-566500</v>
      </c>
      <c r="Q37" s="351">
        <f>SUMIFS(考核调整事项表!$C:$C,考核调整事项表!$B:$B,累计利润调整表!$A37,考核调整事项表!$D:$D,Q$3)+SUMIFS(考核调整事项表!$E:$E,考核调整事项表!$B:$B,累计利润调整表!$A37,考核调整事项表!$F:$F,Q$3)</f>
        <v>-144900</v>
      </c>
      <c r="R37" s="349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348">
        <f t="shared" si="11"/>
        <v>358490.57</v>
      </c>
      <c r="T37" s="349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349">
        <f>SUMIFS(考核调整事项表!$C:$C,考核调整事项表!$B:$B,累计利润调整表!$A37,考核调整事项表!$D:$D,U$3)+SUMIFS(考核调整事项表!$E:$E,考核调整事项表!$B:$B,累计利润调整表!$A37,考核调整事项表!$F:$F,U$3)</f>
        <v>358490.57</v>
      </c>
      <c r="V37" s="349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349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349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349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349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349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349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</row>
    <row r="38" s="313" customFormat="1" spans="1:28">
      <c r="A38" s="41" t="s">
        <v>59</v>
      </c>
      <c r="B38" s="348">
        <f t="shared" si="10"/>
        <v>0</v>
      </c>
      <c r="C38" s="348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348">
        <f>SUMIFS(考核调整事项表!$C:$C,考核调整事项表!$B:$B,累计利润调整表!$A38,考核调整事项表!$D:$D,D$3)+SUMIFS(考核调整事项表!$E:$E,考核调整事项表!$B:$B,累计利润调整表!$A38,考核调整事项表!$F:$F,D$3)+G38+R38+AA38+AB38</f>
        <v>-18673735.2122222</v>
      </c>
      <c r="E38" s="348">
        <f>SUMIFS(考核调整事项表!$C:$C,考核调整事项表!$B:$B,累计利润调整表!$A38,考核调整事项表!$D:$D,E$3)+SUMIFS(考核调整事项表!$E:$E,考核调整事项表!$B:$B,累计利润调整表!$A38,考核调整事项表!$F:$F,E$3)</f>
        <v>25097106.28</v>
      </c>
      <c r="F38" s="349">
        <f t="shared" si="12"/>
        <v>2330320.96</v>
      </c>
      <c r="G38" s="348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348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348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348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348">
        <f t="shared" si="13"/>
        <v>-12049914.25</v>
      </c>
      <c r="L38" s="348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348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348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348">
        <f>SUMIFS(考核调整事项表!$C:$C,考核调整事项表!$B:$B,累计利润调整表!$A38,考核调整事项表!$D:$D,O$3)+SUMIFS(考核调整事项表!$E:$E,考核调整事项表!$B:$B,累计利润调整表!$A38,考核调整事项表!$F:$F,O$3)</f>
        <v>-11948917.22</v>
      </c>
      <c r="P38" s="348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348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348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348">
        <f t="shared" si="11"/>
        <v>3296222.22222223</v>
      </c>
      <c r="T38" s="348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348">
        <f>SUMIFS(考核调整事项表!$C:$C,考核调整事项表!$B:$B,累计利润调整表!$A38,考核调整事项表!$D:$D,U$3)+SUMIFS(考核调整事项表!$E:$E,考核调整事项表!$B:$B,累计利润调整表!$A38,考核调整事项表!$F:$F,U$3)</f>
        <v>3135555.55555556</v>
      </c>
      <c r="V38" s="348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160666.666666667</v>
      </c>
      <c r="W38" s="348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348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348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348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348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348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</row>
    <row r="39" s="313" customFormat="1" spans="1:28">
      <c r="A39" s="41" t="s">
        <v>37</v>
      </c>
      <c r="B39" s="348">
        <f t="shared" si="10"/>
        <v>-3.34694050252438e-9</v>
      </c>
      <c r="C39" s="348">
        <f>SUMIFS(考核调整事项表!$C:$C,考核调整事项表!$B:$B,累计利润调整表!$A39,考核调整事项表!$D:$D,C$3)+SUMIFS(考核调整事项表!$E:$E,考核调整事项表!$B:$B,累计利润调整表!$A39,考核调整事项表!$F:$F,C$3)</f>
        <v>-5565238.39</v>
      </c>
      <c r="D39" s="348">
        <f>SUMIFS(考核调整事项表!$C:$C,考核调整事项表!$B:$B,累计利润调整表!$A39,考核调整事项表!$D:$D,D$3)+SUMIFS(考核调整事项表!$E:$E,考核调整事项表!$B:$B,累计利润调整表!$A39,考核调整事项表!$F:$F,D$3)+G39+R39+AA39+AB39</f>
        <v>8118288.147</v>
      </c>
      <c r="E39" s="348">
        <f>SUMIFS(考核调整事项表!$C:$C,考核调整事项表!$B:$B,累计利润调整表!$A39,考核调整事项表!$D:$D,E$3)+SUMIFS(考核调整事项表!$E:$E,考核调整事项表!$B:$B,累计利润调整表!$A39,考核调整事项表!$F:$F,E$3)</f>
        <v>255139.7</v>
      </c>
      <c r="F39" s="349">
        <f t="shared" si="12"/>
        <v>-12971486</v>
      </c>
      <c r="G39" s="352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352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352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352">
        <f>SUMIFS(考核调整事项表!$C:$C,考核调整事项表!$B:$B,累计利润调整表!$A39,考核调整事项表!$D:$D,J$3)+SUMIFS(考核调整事项表!$E:$E,考核调整事项表!$B:$B,累计利润调整表!$A39,考核调整事项表!$F:$F,J$3)</f>
        <v>-12971486</v>
      </c>
      <c r="K39" s="348">
        <f t="shared" si="13"/>
        <v>10239646.943</v>
      </c>
      <c r="L39" s="348">
        <f>SUMIFS(考核调整事项表!$C:$C,考核调整事项表!$B:$B,累计利润调整表!$A39,考核调整事项表!$D:$D,L$3)+SUMIFS(考核调整事项表!$E:$E,考核调整事项表!$B:$B,累计利润调整表!$A39,考核调整事项表!$F:$F,L$3)</f>
        <v>-6492298.02</v>
      </c>
      <c r="M39" s="348">
        <f>SUMIFS(考核调整事项表!$C:$C,考核调整事项表!$B:$B,累计利润调整表!$A39,考核调整事项表!$D:$D,M$3)+SUMIFS(考核调整事项表!$E:$E,考核调整事项表!$B:$B,累计利润调整表!$A39,考核调整事项表!$F:$F,M$3)</f>
        <v>-879091.907000001</v>
      </c>
      <c r="N39" s="348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348">
        <f>SUMIFS(考核调整事项表!$C:$C,考核调整事项表!$B:$B,累计利润调整表!$A39,考核调整事项表!$D:$D,O$3)+SUMIFS(考核调整事项表!$E:$E,考核调整事项表!$B:$B,累计利润调整表!$A39,考核调整事项表!$F:$F,O$3)</f>
        <v>20057464.68</v>
      </c>
      <c r="P39" s="348">
        <f>SUMIFS(考核调整事项表!$C:$C,考核调整事项表!$B:$B,累计利润调整表!$A39,考核调整事项表!$D:$D,P$3)+SUMIFS(考核调整事项表!$E:$E,考核调整事项表!$B:$B,累计利润调整表!$A39,考核调整事项表!$F:$F,P$3)</f>
        <v>76350.4</v>
      </c>
      <c r="Q39" s="348">
        <f>SUMIFS(考核调整事项表!$C:$C,考核调整事项表!$B:$B,累计利润调整表!$A39,考核调整事项表!$D:$D,Q$3)+SUMIFS(考核调整事项表!$E:$E,考核调整事项表!$B:$B,累计利润调整表!$A39,考核调整事项表!$F:$F,Q$3)</f>
        <v>-2522778.21</v>
      </c>
      <c r="R39" s="348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348">
        <f t="shared" si="11"/>
        <v>-76350.4</v>
      </c>
      <c r="T39" s="348">
        <f>SUMIFS(考核调整事项表!$C:$C,考核调整事项表!$B:$B,累计利润调整表!$A39,考核调整事项表!$D:$D,T$3)+SUMIFS(考核调整事项表!$E:$E,考核调整事项表!$B:$B,累计利润调整表!$A39,考核调整事项表!$F:$F,T$3)</f>
        <v>-94002.15</v>
      </c>
      <c r="U39" s="348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348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348">
        <f>SUMIFS(考核调整事项表!$C:$C,考核调整事项表!$B:$B,累计利润调整表!$A39,考核调整事项表!$D:$D,W$3)+SUMIFS(考核调整事项表!$E:$E,考核调整事项表!$B:$B,累计利润调整表!$A39,考核调整事项表!$F:$F,W$3)</f>
        <v>17651.75</v>
      </c>
      <c r="X39" s="348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348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348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348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348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</row>
    <row r="40" s="313" customFormat="1" spans="1:28">
      <c r="A40" s="41" t="s">
        <v>60</v>
      </c>
      <c r="B40" s="348">
        <f t="shared" si="10"/>
        <v>0</v>
      </c>
      <c r="C40" s="348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348">
        <f>SUMIFS(考核调整事项表!$C:$C,考核调整事项表!$B:$B,累计利润调整表!$A40,考核调整事项表!$D:$D,D$3)+SUMIFS(考核调整事项表!$E:$E,考核调整事项表!$B:$B,累计利润调整表!$A40,考核调整事项表!$F:$F,D$3)+G40+R40+AA40+AB40</f>
        <v>0</v>
      </c>
      <c r="E40" s="348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349">
        <f t="shared" si="12"/>
        <v>0</v>
      </c>
      <c r="G40" s="348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348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348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348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348">
        <f t="shared" si="13"/>
        <v>0</v>
      </c>
      <c r="L40" s="348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348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348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348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348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348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348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348">
        <f t="shared" si="11"/>
        <v>0</v>
      </c>
      <c r="T40" s="348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348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348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348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348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348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348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348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348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</row>
    <row r="41" s="313" customFormat="1" spans="1:28">
      <c r="A41" s="41" t="s">
        <v>39</v>
      </c>
      <c r="B41" s="348">
        <f t="shared" si="10"/>
        <v>-203941619.3</v>
      </c>
      <c r="C41" s="348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56363103.88</v>
      </c>
      <c r="D41" s="348">
        <f>SUMIFS(考核调整事项表!$C:$C,考核调整事项表!$B:$B,累计利润调整表!$A41,考核调整事项表!$D:$D,D$3)+SUMIFS(考核调整事项表!$E:$E,考核调整事项表!$B:$B,累计利润调整表!$A41,考核调整事项表!$F:$F,D$3)+G41+R41+AA41+AB41</f>
        <v>-168762.47</v>
      </c>
      <c r="E41" s="348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1772464.4</v>
      </c>
      <c r="F41" s="349">
        <f t="shared" si="12"/>
        <v>-209504826.85</v>
      </c>
      <c r="G41" s="348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-168762.47</v>
      </c>
      <c r="H41" s="348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-209009502.02</v>
      </c>
      <c r="I41" s="348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1132090.51</v>
      </c>
      <c r="J41" s="348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-1627415.34</v>
      </c>
      <c r="K41" s="348">
        <f t="shared" si="13"/>
        <v>-51824829.79</v>
      </c>
      <c r="L41" s="348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-8962141.09</v>
      </c>
      <c r="M41" s="348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-6418807.07</v>
      </c>
      <c r="N41" s="348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-301201.19</v>
      </c>
      <c r="O41" s="348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14194818.78</v>
      </c>
      <c r="P41" s="348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-49938374.39</v>
      </c>
      <c r="Q41" s="348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-399124.83</v>
      </c>
      <c r="R41" s="348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348">
        <f t="shared" si="11"/>
        <v>-578768.47</v>
      </c>
      <c r="T41" s="348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28793.28</v>
      </c>
      <c r="U41" s="348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348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348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-607561.75</v>
      </c>
      <c r="X41" s="348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348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348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348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348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</row>
    <row r="42" s="313" customFormat="1" spans="1:28">
      <c r="A42" s="41" t="s">
        <v>61</v>
      </c>
      <c r="B42" s="348">
        <f t="shared" si="10"/>
        <v>0</v>
      </c>
      <c r="C42" s="348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348">
        <f>SUMIFS(考核调整事项表!$C:$C,考核调整事项表!$B:$B,累计利润调整表!$A42,考核调整事项表!$D:$D,D$3)+SUMIFS(考核调整事项表!$E:$E,考核调整事项表!$B:$B,累计利润调整表!$A42,考核调整事项表!$F:$F,D$3)+G42+R42+AA42+AB42</f>
        <v>0</v>
      </c>
      <c r="E42" s="348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349">
        <f t="shared" si="12"/>
        <v>0</v>
      </c>
      <c r="G42" s="348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348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348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348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348">
        <f t="shared" si="13"/>
        <v>0</v>
      </c>
      <c r="L42" s="348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348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348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348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348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348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348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348">
        <f t="shared" si="11"/>
        <v>0</v>
      </c>
      <c r="T42" s="348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348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348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348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348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348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348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348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348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</row>
    <row r="43" s="313" customFormat="1" spans="1:28">
      <c r="A43" s="41" t="s">
        <v>62</v>
      </c>
      <c r="B43" s="348">
        <f t="shared" si="10"/>
        <v>0</v>
      </c>
      <c r="C43" s="348">
        <f>SUMIFS(考核调整事项表!$C:$C,考核调整事项表!$B:$B,累计利润调整表!$A43,考核调整事项表!$D:$D,C$3)+SUMIFS(考核调整事项表!$E:$E,考核调整事项表!$B:$B,累计利润调整表!$A43,考核调整事项表!$F:$F,C$3)</f>
        <v>-3800636.1</v>
      </c>
      <c r="D43" s="348">
        <f>SUMIFS(考核调整事项表!$C:$C,考核调整事项表!$B:$B,累计利润调整表!$A43,考核调整事项表!$D:$D,D$3)+SUMIFS(考核调整事项表!$E:$E,考核调整事项表!$B:$B,累计利润调整表!$A43,考核调整事项表!$F:$F,D$3)+G43+R43+AA43+AB43</f>
        <v>0</v>
      </c>
      <c r="E43" s="348">
        <f>SUMIFS(考核调整事项表!$C:$C,考核调整事项表!$B:$B,累计利润调整表!$A43,考核调整事项表!$D:$D,E$3)+SUMIFS(考核调整事项表!$E:$E,考核调整事项表!$B:$B,累计利润调整表!$A43,考核调整事项表!$F:$F,E$3)</f>
        <v>3800636.1</v>
      </c>
      <c r="F43" s="349">
        <f t="shared" si="12"/>
        <v>0</v>
      </c>
      <c r="G43" s="348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348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348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348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348">
        <f t="shared" si="13"/>
        <v>0</v>
      </c>
      <c r="L43" s="348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348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348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348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348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348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348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348">
        <f t="shared" si="11"/>
        <v>0</v>
      </c>
      <c r="T43" s="348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348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348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348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348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348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348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348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348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</row>
    <row r="44" s="313" customFormat="1" spans="1:28">
      <c r="A44" s="44" t="s">
        <v>42</v>
      </c>
      <c r="B44" s="353">
        <f>SUM(B45:B48)</f>
        <v>0</v>
      </c>
      <c r="C44" s="353">
        <f t="shared" ref="C44:AB44" si="14">SUM(C45:C48)</f>
        <v>13607493.6590505</v>
      </c>
      <c r="D44" s="353">
        <f t="shared" si="14"/>
        <v>-3993391.16862232</v>
      </c>
      <c r="E44" s="353">
        <f t="shared" si="14"/>
        <v>2724888.06792453</v>
      </c>
      <c r="F44" s="353">
        <f t="shared" si="14"/>
        <v>2952041.33</v>
      </c>
      <c r="G44" s="353">
        <f t="shared" si="14"/>
        <v>-1158723.93</v>
      </c>
      <c r="H44" s="353">
        <f t="shared" si="14"/>
        <v>364110.7</v>
      </c>
      <c r="I44" s="353">
        <f t="shared" si="14"/>
        <v>2280377.99</v>
      </c>
      <c r="J44" s="353">
        <f t="shared" si="14"/>
        <v>307552.64</v>
      </c>
      <c r="K44" s="353">
        <f t="shared" si="14"/>
        <v>1470641.96164626</v>
      </c>
      <c r="L44" s="353">
        <f t="shared" si="14"/>
        <v>214037.892871573</v>
      </c>
      <c r="M44" s="353">
        <f t="shared" si="14"/>
        <v>341222.445187976</v>
      </c>
      <c r="N44" s="353">
        <f t="shared" si="14"/>
        <v>489096.628658009</v>
      </c>
      <c r="O44" s="353">
        <f t="shared" si="14"/>
        <v>579725.782886103</v>
      </c>
      <c r="P44" s="353">
        <f t="shared" si="14"/>
        <v>-787797.740270879</v>
      </c>
      <c r="Q44" s="353">
        <f t="shared" si="14"/>
        <v>634356.952313478</v>
      </c>
      <c r="R44" s="353">
        <f t="shared" si="14"/>
        <v>-1209911.53</v>
      </c>
      <c r="S44" s="353">
        <f t="shared" si="14"/>
        <v>-16761673.8499989</v>
      </c>
      <c r="T44" s="353">
        <f t="shared" si="14"/>
        <v>467749.195587211</v>
      </c>
      <c r="U44" s="353">
        <f t="shared" si="14"/>
        <v>-15261875.8926376</v>
      </c>
      <c r="V44" s="353">
        <f t="shared" si="14"/>
        <v>-3637128.35105546</v>
      </c>
      <c r="W44" s="353">
        <f t="shared" si="14"/>
        <v>165484.998106887</v>
      </c>
      <c r="X44" s="353">
        <f t="shared" si="14"/>
        <v>460174</v>
      </c>
      <c r="Y44" s="353">
        <f t="shared" si="14"/>
        <v>50311</v>
      </c>
      <c r="Z44" s="353">
        <f t="shared" si="14"/>
        <v>993611.2</v>
      </c>
      <c r="AA44" s="353">
        <f t="shared" si="14"/>
        <v>1387255.93</v>
      </c>
      <c r="AB44" s="353">
        <f t="shared" si="14"/>
        <v>0</v>
      </c>
    </row>
    <row r="45" s="313" customFormat="1" spans="1:28">
      <c r="A45" s="42" t="s">
        <v>63</v>
      </c>
      <c r="B45" s="348">
        <f>SUM(C45:F45)+K45+S45</f>
        <v>0</v>
      </c>
      <c r="C45" s="349">
        <f>SUMIFS(考核调整事项表!$C:$C,考核调整事项表!$B:$B,累计利润调整表!$A45,考核调整事项表!$D:$D,C$3)+SUMIFS(考核调整事项表!$E:$E,考核调整事项表!$B:$B,累计利润调整表!$A45,考核调整事项表!$F:$F,C$3)</f>
        <v>-107051.18</v>
      </c>
      <c r="D45" s="349">
        <f>SUMIFS(考核调整事项表!$C:$C,考核调整事项表!$B:$B,累计利润调整表!$A45,考核调整事项表!$D:$D,D$3)+SUMIFS(考核调整事项表!$E:$E,考核调整事项表!$B:$B,累计利润调整表!$A45,考核调整事项表!$F:$F,D$3)+G45+R45+AA45+AB45</f>
        <v>112780.98</v>
      </c>
      <c r="E45" s="349">
        <f>SUMIFS(考核调整事项表!$C:$C,考核调整事项表!$B:$B,累计利润调整表!$A45,考核调整事项表!$D:$D,E$3)+SUMIFS(考核调整事项表!$E:$E,考核调整事项表!$B:$B,累计利润调整表!$A45,考核调整事项表!$F:$F,E$3)</f>
        <v>49413.7</v>
      </c>
      <c r="F45" s="349">
        <f t="shared" ref="F45:F55" si="15">SUM(H45:J45)</f>
        <v>-158738.15</v>
      </c>
      <c r="G45" s="349">
        <f>SUMIFS(考核调整事项表!$C:$C,考核调整事项表!$B:$B,累计利润调整表!$A45,考核调整事项表!$D:$D,G$3)+SUMIFS(考核调整事项表!$E:$E,考核调整事项表!$B:$B,累计利润调整表!$A45,考核调整事项表!$F:$F,G$3)</f>
        <v>69751.87</v>
      </c>
      <c r="H45" s="349">
        <f>SUMIFS(考核调整事项表!$C:$C,考核调整事项表!$B:$B,累计利润调整表!$A45,考核调整事项表!$D:$D,H$3)+SUMIFS(考核调整事项表!$E:$E,考核调整事项表!$B:$B,累计利润调整表!$A45,考核调整事项表!$F:$F,H$3)</f>
        <v>-41440.61</v>
      </c>
      <c r="I45" s="349">
        <f>SUMIFS(考核调整事项表!$C:$C,考核调整事项表!$B:$B,累计利润调整表!$A45,考核调整事项表!$D:$D,I$3)+SUMIFS(考核调整事项表!$E:$E,考核调整事项表!$B:$B,累计利润调整表!$A45,考核调整事项表!$F:$F,I$3)</f>
        <v>-23059.62</v>
      </c>
      <c r="J45" s="349">
        <f>SUMIFS(考核调整事项表!$C:$C,考核调整事项表!$B:$B,累计利润调整表!$A45,考核调整事项表!$D:$D,J$3)+SUMIFS(考核调整事项表!$E:$E,考核调整事项表!$B:$B,累计利润调整表!$A45,考核调整事项表!$F:$F,J$3)</f>
        <v>-94237.92</v>
      </c>
      <c r="K45" s="348">
        <f t="shared" si="13"/>
        <v>58165.86</v>
      </c>
      <c r="L45" s="349">
        <f>SUMIFS(考核调整事项表!$C:$C,考核调整事项表!$B:$B,累计利润调整表!$A45,考核调整事项表!$D:$D,L$3)+SUMIFS(考核调整事项表!$E:$E,考核调整事项表!$B:$B,累计利润调整表!$A45,考核调整事项表!$F:$F,L$3)</f>
        <v>-48405.59</v>
      </c>
      <c r="M45" s="349">
        <f>SUMIFS(考核调整事项表!$C:$C,考核调整事项表!$B:$B,累计利润调整表!$A45,考核调整事项表!$D:$D,M$3)+SUMIFS(考核调整事项表!$E:$E,考核调整事项表!$B:$B,累计利润调整表!$A45,考核调整事项表!$F:$F,M$3)</f>
        <v>12427.2</v>
      </c>
      <c r="N45" s="349">
        <f>SUMIFS(考核调整事项表!$C:$C,考核调整事项表!$B:$B,累计利润调整表!$A45,考核调整事项表!$D:$D,N$3)+SUMIFS(考核调整事项表!$E:$E,考核调整事项表!$B:$B,累计利润调整表!$A45,考核调整事项表!$F:$F,N$3)</f>
        <v>9610.48</v>
      </c>
      <c r="O45" s="349">
        <f>SUMIFS(考核调整事项表!$C:$C,考核调整事项表!$B:$B,累计利润调整表!$A45,考核调整事项表!$D:$D,O$3)+SUMIFS(考核调整事项表!$E:$E,考核调整事项表!$B:$B,累计利润调整表!$A45,考核调整事项表!$F:$F,O$3)</f>
        <v>107270.13</v>
      </c>
      <c r="P45" s="349">
        <f>SUMIFS(考核调整事项表!$C:$C,考核调整事项表!$B:$B,累计利润调整表!$A45,考核调整事项表!$D:$D,P$3)+SUMIFS(考核调整事项表!$E:$E,考核调整事项表!$B:$B,累计利润调整表!$A45,考核调整事项表!$F:$F,P$3)</f>
        <v>-3529.07</v>
      </c>
      <c r="Q45" s="349">
        <f>SUMIFS(考核调整事项表!$C:$C,考核调整事项表!$B:$B,累计利润调整表!$A45,考核调整事项表!$D:$D,Q$3)+SUMIFS(考核调整事项表!$E:$E,考核调整事项表!$B:$B,累计利润调整表!$A45,考核调整事项表!$F:$F,Q$3)</f>
        <v>-19207.29</v>
      </c>
      <c r="R45" s="349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349">
        <f t="shared" si="11"/>
        <v>45428.79</v>
      </c>
      <c r="T45" s="349">
        <f>SUMIFS(考核调整事项表!$C:$C,考核调整事项表!$B:$B,累计利润调整表!$A45,考核调整事项表!$D:$D,T$3)+SUMIFS(考核调整事项表!$E:$E,考核调整事项表!$B:$B,累计利润调整表!$A45,考核调整事项表!$F:$F,T$3)</f>
        <v>-14644.82</v>
      </c>
      <c r="U45" s="349">
        <f>SUMIFS(考核调整事项表!$C:$C,考核调整事项表!$B:$B,累计利润调整表!$A45,考核调整事项表!$D:$D,U$3)+SUMIFS(考核调整事项表!$E:$E,考核调整事项表!$B:$B,累计利润调整表!$A45,考核调整事项表!$F:$F,U$3)</f>
        <v>59946.52</v>
      </c>
      <c r="V45" s="349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349">
        <f>SUMIFS(考核调整事项表!$C:$C,考核调整事项表!$B:$B,累计利润调整表!$A45,考核调整事项表!$D:$D,W$3)+SUMIFS(考核调整事项表!$E:$E,考核调整事项表!$B:$B,累计利润调整表!$A45,考核调整事项表!$F:$F,W$3)</f>
        <v>127.09</v>
      </c>
      <c r="X45" s="349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  <c r="Y45" s="349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349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349">
        <f>SUMIFS(考核调整事项表!$C:$C,考核调整事项表!$B:$B,累计利润调整表!$A45,考核调整事项表!$D:$D,AA$3)+SUMIFS(考核调整事项表!$E:$E,考核调整事项表!$B:$B,累计利润调整表!$A45,考核调整事项表!$F:$F,AA$3)</f>
        <v>-4075.47</v>
      </c>
      <c r="AB45" s="349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</row>
    <row r="46" s="313" customFormat="1" spans="1:28">
      <c r="A46" s="42" t="s">
        <v>64</v>
      </c>
      <c r="B46" s="348">
        <f>SUM(C46:F46)+K46+S46</f>
        <v>0</v>
      </c>
      <c r="C46" s="349">
        <f>SUMIFS(考核调整事项表!$C:$C,考核调整事项表!$B:$B,累计利润调整表!$A46,考核调整事项表!$D:$D,C$3)+SUMIFS(考核调整事项表!$E:$E,考核调整事项表!$B:$B,累计利润调整表!$A46,考核调整事项表!$F:$F,C$3)</f>
        <v>13714544.8390505</v>
      </c>
      <c r="D46" s="349">
        <f>SUMIFS(考核调整事项表!$C:$C,考核调整事项表!$B:$B,累计利润调整表!$A46,考核调整事项表!$D:$D,D$3)+SUMIFS(考核调整事项表!$E:$E,考核调整事项表!$B:$B,累计利润调整表!$A46,考核调整事项表!$F:$F,D$3)+G46+R46+AA46+AB46</f>
        <v>-4106172.14862232</v>
      </c>
      <c r="E46" s="349">
        <f>SUMIFS(考核调整事项表!$C:$C,考核调整事项表!$B:$B,累计利润调整表!$A46,考核调整事项表!$D:$D,E$3)+SUMIFS(考核调整事项表!$E:$E,考核调整事项表!$B:$B,累计利润调整表!$A46,考核调整事项表!$F:$F,E$3)</f>
        <v>2675474.36792453</v>
      </c>
      <c r="F46" s="349">
        <f t="shared" si="15"/>
        <v>3110779.48</v>
      </c>
      <c r="G46" s="349">
        <f>SUMIFS(考核调整事项表!$C:$C,考核调整事项表!$B:$B,累计利润调整表!$A46,考核调整事项表!$D:$D,G$3)+SUMIFS(考核调整事项表!$E:$E,考核调整事项表!$B:$B,累计利润调整表!$A46,考核调整事项表!$F:$F,G$3)</f>
        <v>-1228475.8</v>
      </c>
      <c r="H46" s="349">
        <f>SUMIFS(考核调整事项表!$C:$C,考核调整事项表!$B:$B,累计利润调整表!$A46,考核调整事项表!$D:$D,H$3)+SUMIFS(考核调整事项表!$E:$E,考核调整事项表!$B:$B,累计利润调整表!$A46,考核调整事项表!$F:$F,H$3)</f>
        <v>405551.31</v>
      </c>
      <c r="I46" s="349">
        <f>SUMIFS(考核调整事项表!$C:$C,考核调整事项表!$B:$B,累计利润调整表!$A46,考核调整事项表!$D:$D,I$3)+SUMIFS(考核调整事项表!$E:$E,考核调整事项表!$B:$B,累计利润调整表!$A46,考核调整事项表!$F:$F,I$3)</f>
        <v>2303437.61</v>
      </c>
      <c r="J46" s="349">
        <f>SUMIFS(考核调整事项表!$C:$C,考核调整事项表!$B:$B,累计利润调整表!$A46,考核调整事项表!$D:$D,J$3)+SUMIFS(考核调整事项表!$E:$E,考核调整事项表!$B:$B,累计利润调整表!$A46,考核调整事项表!$F:$F,J$3)</f>
        <v>401790.56</v>
      </c>
      <c r="K46" s="348">
        <f t="shared" si="13"/>
        <v>1412476.10164626</v>
      </c>
      <c r="L46" s="349">
        <f>SUMIFS(考核调整事项表!$C:$C,考核调整事项表!$B:$B,累计利润调整表!$A46,考核调整事项表!$D:$D,L$3)+SUMIFS(考核调整事项表!$E:$E,考核调整事项表!$B:$B,累计利润调整表!$A46,考核调整事项表!$F:$F,L$3)</f>
        <v>262443.482871573</v>
      </c>
      <c r="M46" s="349">
        <f>SUMIFS(考核调整事项表!$C:$C,考核调整事项表!$B:$B,累计利润调整表!$A46,考核调整事项表!$D:$D,M$3)+SUMIFS(考核调整事项表!$E:$E,考核调整事项表!$B:$B,累计利润调整表!$A46,考核调整事项表!$F:$F,M$3)</f>
        <v>328795.245187976</v>
      </c>
      <c r="N46" s="349">
        <f>SUMIFS(考核调整事项表!$C:$C,考核调整事项表!$B:$B,累计利润调整表!$A46,考核调整事项表!$D:$D,N$3)+SUMIFS(考核调整事项表!$E:$E,考核调整事项表!$B:$B,累计利润调整表!$A46,考核调整事项表!$F:$F,N$3)</f>
        <v>479486.148658009</v>
      </c>
      <c r="O46" s="349">
        <f>SUMIFS(考核调整事项表!$C:$C,考核调整事项表!$B:$B,累计利润调整表!$A46,考核调整事项表!$D:$D,O$3)+SUMIFS(考核调整事项表!$E:$E,考核调整事项表!$B:$B,累计利润调整表!$A46,考核调整事项表!$F:$F,O$3)</f>
        <v>472455.652886103</v>
      </c>
      <c r="P46" s="349">
        <f>SUMIFS(考核调整事项表!$C:$C,考核调整事项表!$B:$B,累计利润调整表!$A46,考核调整事项表!$D:$D,P$3)+SUMIFS(考核调整事项表!$E:$E,考核调整事项表!$B:$B,累计利润调整表!$A46,考核调整事项表!$F:$F,P$3)</f>
        <v>-784268.670270879</v>
      </c>
      <c r="Q46" s="349">
        <f>SUMIFS(考核调整事项表!$C:$C,考核调整事项表!$B:$B,累计利润调整表!$A46,考核调整事项表!$D:$D,Q$3)+SUMIFS(考核调整事项表!$E:$E,考核调整事项表!$B:$B,累计利润调整表!$A46,考核调整事项表!$F:$F,Q$3)</f>
        <v>653564.242313478</v>
      </c>
      <c r="R46" s="349">
        <f>SUMIFS(考核调整事项表!$C:$C,考核调整事项表!$B:$B,累计利润调整表!$A46,考核调整事项表!$D:$D,R$3)+SUMIFS(考核调整事项表!$E:$E,考核调整事项表!$B:$B,累计利润调整表!$A46,考核调整事项表!$F:$F,R$3)</f>
        <v>-1209911.53</v>
      </c>
      <c r="S46" s="349">
        <f t="shared" si="11"/>
        <v>-16807102.6399989</v>
      </c>
      <c r="T46" s="349">
        <f>SUMIFS(考核调整事项表!$C:$C,考核调整事项表!$B:$B,累计利润调整表!$A46,考核调整事项表!$D:$D,T$3)+SUMIFS(考核调整事项表!$E:$E,考核调整事项表!$B:$B,累计利润调整表!$A46,考核调整事项表!$F:$F,T$3)</f>
        <v>482394.015587211</v>
      </c>
      <c r="U46" s="349">
        <f>SUMIFS(考核调整事项表!$C:$C,考核调整事项表!$B:$B,累计利润调整表!$A46,考核调整事项表!$D:$D,U$3)+SUMIFS(考核调整事项表!$E:$E,考核调整事项表!$B:$B,累计利润调整表!$A46,考核调整事项表!$F:$F,U$3)</f>
        <v>-15321822.4126376</v>
      </c>
      <c r="V46" s="349">
        <f>SUMIFS(考核调整事项表!$C:$C,考核调整事项表!$B:$B,累计利润调整表!$A46,考核调整事项表!$D:$D,V$3)+SUMIFS(考核调整事项表!$E:$E,考核调整事项表!$B:$B,累计利润调整表!$A46,考核调整事项表!$F:$F,V$3)</f>
        <v>-3637128.35105546</v>
      </c>
      <c r="W46" s="349">
        <f>SUMIFS(考核调整事项表!$C:$C,考核调整事项表!$B:$B,累计利润调整表!$A46,考核调整事项表!$D:$D,W$3)+SUMIFS(考核调整事项表!$E:$E,考核调整事项表!$B:$B,累计利润调整表!$A46,考核调整事项表!$F:$F,W$3)</f>
        <v>165357.908106887</v>
      </c>
      <c r="X46" s="349">
        <f>SUMIFS(考核调整事项表!$C:$C,考核调整事项表!$B:$B,累计利润调整表!$A46,考核调整事项表!$D:$D,X$3)+SUMIFS(考核调整事项表!$E:$E,考核调整事项表!$B:$B,累计利润调整表!$A46,考核调整事项表!$F:$F,X$3)</f>
        <v>460174</v>
      </c>
      <c r="Y46" s="349">
        <f>SUMIFS(考核调整事项表!$C:$C,考核调整事项表!$B:$B,累计利润调整表!$A46,考核调整事项表!$D:$D,Y$3)+SUMIFS(考核调整事项表!$E:$E,考核调整事项表!$B:$B,累计利润调整表!$A46,考核调整事项表!$F:$F,Y$3)</f>
        <v>50311</v>
      </c>
      <c r="Z46" s="349">
        <f>SUMIFS(考核调整事项表!$C:$C,考核调整事项表!$B:$B,累计利润调整表!$A46,考核调整事项表!$D:$D,Z$3)+SUMIFS(考核调整事项表!$E:$E,考核调整事项表!$B:$B,累计利润调整表!$A46,考核调整事项表!$F:$F,Z$3)</f>
        <v>993611.2</v>
      </c>
      <c r="AA46" s="349">
        <f>SUMIFS(考核调整事项表!$C:$C,考核调整事项表!$B:$B,累计利润调整表!$A46,考核调整事项表!$D:$D,AA$3)+SUMIFS(考核调整事项表!$E:$E,考核调整事项表!$B:$B,累计利润调整表!$A46,考核调整事项表!$F:$F,AA$3)</f>
        <v>1391331.4</v>
      </c>
      <c r="AB46" s="349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</row>
    <row r="47" s="313" customFormat="1" spans="1:28">
      <c r="A47" s="42" t="s">
        <v>65</v>
      </c>
      <c r="B47" s="348">
        <f>SUM(C47:F47)+K47+S47</f>
        <v>0</v>
      </c>
      <c r="C47" s="349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349">
        <f>SUMIFS(考核调整事项表!$C:$C,考核调整事项表!$B:$B,累计利润调整表!$A47,考核调整事项表!$D:$D,D$3)+SUMIFS(考核调整事项表!$E:$E,考核调整事项表!$B:$B,累计利润调整表!$A47,考核调整事项表!$F:$F,D$3)+G47+R47+AA47+AB47</f>
        <v>0</v>
      </c>
      <c r="E47" s="349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349">
        <f t="shared" si="15"/>
        <v>0</v>
      </c>
      <c r="G47" s="349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349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349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349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348">
        <f t="shared" si="13"/>
        <v>0</v>
      </c>
      <c r="L47" s="349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349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349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349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349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349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349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349">
        <f t="shared" si="11"/>
        <v>0</v>
      </c>
      <c r="T47" s="349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349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349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349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349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349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349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349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349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</row>
    <row r="48" s="313" customFormat="1" spans="1:28">
      <c r="A48" s="42" t="s">
        <v>66</v>
      </c>
      <c r="B48" s="348">
        <f>SUM(C48:F48)+K48+S48</f>
        <v>0</v>
      </c>
      <c r="C48" s="349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349">
        <f>SUMIFS(考核调整事项表!$C:$C,考核调整事项表!$B:$B,累计利润调整表!$A48,考核调整事项表!$D:$D,D$3)+SUMIFS(考核调整事项表!$E:$E,考核调整事项表!$B:$B,累计利润调整表!$A48,考核调整事项表!$F:$F,D$3)+G48+R48+AA48+AB48</f>
        <v>0</v>
      </c>
      <c r="E48" s="349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349">
        <f t="shared" si="15"/>
        <v>0</v>
      </c>
      <c r="G48" s="349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349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349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349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348">
        <f t="shared" si="13"/>
        <v>0</v>
      </c>
      <c r="L48" s="349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349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349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349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349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349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349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349">
        <f t="shared" si="11"/>
        <v>0</v>
      </c>
      <c r="T48" s="349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349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349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349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349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349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349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349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349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</row>
    <row r="49" s="313" customFormat="1" spans="1:28">
      <c r="A49" s="44" t="s">
        <v>47</v>
      </c>
      <c r="B49" s="353">
        <f>B33-B44</f>
        <v>-203941619.3</v>
      </c>
      <c r="C49" s="353">
        <f t="shared" ref="C49:AB49" si="16">C33-C44</f>
        <v>24086754.8573646</v>
      </c>
      <c r="D49" s="353">
        <f t="shared" si="16"/>
        <v>814919.02872085</v>
      </c>
      <c r="E49" s="353">
        <f t="shared" si="16"/>
        <v>34808330.1986415</v>
      </c>
      <c r="F49" s="353">
        <f t="shared" si="16"/>
        <v>-232173512.590566</v>
      </c>
      <c r="G49" s="353">
        <f t="shared" si="16"/>
        <v>10677722.1353208</v>
      </c>
      <c r="H49" s="353">
        <f t="shared" si="16"/>
        <v>-215129252.210566</v>
      </c>
      <c r="I49" s="353">
        <f t="shared" si="16"/>
        <v>-4351013.01</v>
      </c>
      <c r="J49" s="353">
        <f t="shared" si="16"/>
        <v>-12693247.37</v>
      </c>
      <c r="K49" s="353">
        <f t="shared" si="16"/>
        <v>-57266793.6586463</v>
      </c>
      <c r="L49" s="353">
        <f t="shared" si="16"/>
        <v>-15899177.0028716</v>
      </c>
      <c r="M49" s="353">
        <f t="shared" si="16"/>
        <v>-5034029.37218798</v>
      </c>
      <c r="N49" s="353">
        <f t="shared" si="16"/>
        <v>544491.381341991</v>
      </c>
      <c r="O49" s="353">
        <f t="shared" si="16"/>
        <v>16564804.6071139</v>
      </c>
      <c r="P49" s="353">
        <f t="shared" si="16"/>
        <v>-49640726.2497291</v>
      </c>
      <c r="Q49" s="353">
        <f t="shared" si="16"/>
        <v>-3802157.02231348</v>
      </c>
      <c r="R49" s="353">
        <f t="shared" si="16"/>
        <v>1209911.53</v>
      </c>
      <c r="S49" s="353">
        <f t="shared" si="16"/>
        <v>25788682.8644853</v>
      </c>
      <c r="T49" s="353">
        <f t="shared" si="16"/>
        <v>-2472958.06615325</v>
      </c>
      <c r="U49" s="353">
        <f t="shared" si="16"/>
        <v>26723337.1110233</v>
      </c>
      <c r="V49" s="353">
        <f t="shared" si="16"/>
        <v>3797795.01772213</v>
      </c>
      <c r="W49" s="353">
        <f t="shared" si="16"/>
        <v>-755394.998106887</v>
      </c>
      <c r="X49" s="353">
        <f t="shared" si="16"/>
        <v>-460174</v>
      </c>
      <c r="Y49" s="353">
        <f t="shared" si="16"/>
        <v>-50311</v>
      </c>
      <c r="Z49" s="353">
        <f t="shared" si="16"/>
        <v>-993611.2</v>
      </c>
      <c r="AA49" s="353">
        <f t="shared" si="16"/>
        <v>-1953293.66</v>
      </c>
      <c r="AB49" s="353">
        <f t="shared" si="16"/>
        <v>0</v>
      </c>
    </row>
    <row r="50" s="313" customFormat="1" spans="1:28">
      <c r="A50" s="42" t="s">
        <v>67</v>
      </c>
      <c r="B50" s="348">
        <f t="shared" si="10"/>
        <v>0</v>
      </c>
      <c r="C50" s="348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348">
        <f>SUMIFS(考核调整事项表!$C:$C,考核调整事项表!$B:$B,累计利润调整表!$A50,考核调整事项表!$D:$D,D$3)+SUMIFS(考核调整事项表!$E:$E,考核调整事项表!$B:$B,累计利润调整表!$A50,考核调整事项表!$F:$F,D$3)+G50+R50+AA50+AB50</f>
        <v>0</v>
      </c>
      <c r="E50" s="348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349">
        <f t="shared" si="15"/>
        <v>0</v>
      </c>
      <c r="G50" s="348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348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348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348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348">
        <f t="shared" si="13"/>
        <v>0</v>
      </c>
      <c r="L50" s="348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348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348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348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348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348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348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348">
        <f t="shared" si="11"/>
        <v>0</v>
      </c>
      <c r="T50" s="348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348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348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348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348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348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348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348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348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</row>
    <row r="51" s="313" customFormat="1" spans="1:28">
      <c r="A51" s="42" t="s">
        <v>68</v>
      </c>
      <c r="B51" s="348">
        <f t="shared" si="10"/>
        <v>0</v>
      </c>
      <c r="C51" s="348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348">
        <f>SUMIFS(考核调整事项表!$C:$C,考核调整事项表!$B:$B,累计利润调整表!$A51,考核调整事项表!$D:$D,D$3)+SUMIFS(考核调整事项表!$E:$E,考核调整事项表!$B:$B,累计利润调整表!$A51,考核调整事项表!$F:$F,D$3)+G51+R51+AA51+AB51</f>
        <v>0</v>
      </c>
      <c r="E51" s="348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349">
        <f t="shared" si="15"/>
        <v>0</v>
      </c>
      <c r="G51" s="348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348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348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348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348">
        <f t="shared" si="13"/>
        <v>0</v>
      </c>
      <c r="L51" s="348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348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348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348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348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348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348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348">
        <f t="shared" si="11"/>
        <v>0</v>
      </c>
      <c r="T51" s="348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348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348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348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348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348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348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348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348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</row>
    <row r="52" s="313" customFormat="1" spans="1:28">
      <c r="A52" s="44" t="s">
        <v>50</v>
      </c>
      <c r="B52" s="353">
        <f>B49+B50-B51</f>
        <v>-203941619.3</v>
      </c>
      <c r="C52" s="353">
        <f t="shared" ref="C52:AB52" si="17">C49+C50-C51</f>
        <v>24086754.8573646</v>
      </c>
      <c r="D52" s="353">
        <f t="shared" si="17"/>
        <v>814919.02872085</v>
      </c>
      <c r="E52" s="353">
        <f t="shared" si="17"/>
        <v>34808330.1986415</v>
      </c>
      <c r="F52" s="353">
        <f t="shared" si="17"/>
        <v>-232173512.590566</v>
      </c>
      <c r="G52" s="353">
        <f t="shared" si="17"/>
        <v>10677722.1353208</v>
      </c>
      <c r="H52" s="353">
        <f t="shared" si="17"/>
        <v>-215129252.210566</v>
      </c>
      <c r="I52" s="353">
        <f t="shared" si="17"/>
        <v>-4351013.01</v>
      </c>
      <c r="J52" s="353">
        <f t="shared" si="17"/>
        <v>-12693247.37</v>
      </c>
      <c r="K52" s="353">
        <f t="shared" si="17"/>
        <v>-57266793.6586463</v>
      </c>
      <c r="L52" s="353">
        <f t="shared" si="17"/>
        <v>-15899177.0028716</v>
      </c>
      <c r="M52" s="353">
        <f t="shared" si="17"/>
        <v>-5034029.37218798</v>
      </c>
      <c r="N52" s="353">
        <f t="shared" si="17"/>
        <v>544491.381341991</v>
      </c>
      <c r="O52" s="353">
        <f t="shared" si="17"/>
        <v>16564804.6071139</v>
      </c>
      <c r="P52" s="353">
        <f t="shared" si="17"/>
        <v>-49640726.2497291</v>
      </c>
      <c r="Q52" s="353">
        <f t="shared" si="17"/>
        <v>-3802157.02231348</v>
      </c>
      <c r="R52" s="353">
        <f t="shared" si="17"/>
        <v>1209911.53</v>
      </c>
      <c r="S52" s="353">
        <f t="shared" si="17"/>
        <v>25788682.8644853</v>
      </c>
      <c r="T52" s="353">
        <f t="shared" si="17"/>
        <v>-2472958.06615325</v>
      </c>
      <c r="U52" s="353">
        <f t="shared" si="17"/>
        <v>26723337.1110233</v>
      </c>
      <c r="V52" s="353">
        <f t="shared" si="17"/>
        <v>3797795.01772213</v>
      </c>
      <c r="W52" s="353">
        <f t="shared" si="17"/>
        <v>-755394.998106887</v>
      </c>
      <c r="X52" s="353">
        <f t="shared" si="17"/>
        <v>-460174</v>
      </c>
      <c r="Y52" s="353">
        <f t="shared" si="17"/>
        <v>-50311</v>
      </c>
      <c r="Z52" s="353">
        <f t="shared" si="17"/>
        <v>-993611.2</v>
      </c>
      <c r="AA52" s="353">
        <f t="shared" si="17"/>
        <v>-1953293.66</v>
      </c>
      <c r="AB52" s="353">
        <f t="shared" si="17"/>
        <v>0</v>
      </c>
    </row>
    <row r="53" s="313" customFormat="1" spans="1:28">
      <c r="A53" s="42" t="s">
        <v>69</v>
      </c>
      <c r="B53" s="348">
        <f t="shared" si="10"/>
        <v>-50985404.825</v>
      </c>
      <c r="C53" s="349">
        <f>SUMIFS(考核调整事项表!$C:$C,考核调整事项表!$B:$B,累计利润调整表!$A53,考核调整事项表!$D:$D,C$3)+SUMIFS(考核调整事项表!$E:$E,考核调整事项表!$B:$B,累计利润调整表!$A53,考核调整事项表!$F:$F,C$3)+B41*0.25</f>
        <v>-50985404.825</v>
      </c>
      <c r="D53" s="349">
        <f>SUMIFS(考核调整事项表!$C:$C,考核调整事项表!$B:$B,累计利润调整表!$A53,考核调整事项表!$D:$D,D$3)+SUMIFS(考核调整事项表!$E:$E,考核调整事项表!$B:$B,累计利润调整表!$A53,考核调整事项表!$F:$F,D$3)+G53+R53+AA53+AB53</f>
        <v>0</v>
      </c>
      <c r="E53" s="349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349">
        <f t="shared" si="15"/>
        <v>0</v>
      </c>
      <c r="G53" s="349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349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349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349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348">
        <f t="shared" si="13"/>
        <v>0</v>
      </c>
      <c r="L53" s="349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349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349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349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349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349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349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349">
        <f t="shared" si="11"/>
        <v>0</v>
      </c>
      <c r="T53" s="349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349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349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349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349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349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349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349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349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</row>
    <row r="54" s="313" customFormat="1" spans="1:28">
      <c r="A54" s="44" t="s">
        <v>52</v>
      </c>
      <c r="B54" s="353">
        <f>B52-B53</f>
        <v>-152956214.475</v>
      </c>
      <c r="C54" s="353">
        <f t="shared" ref="C54:AB54" si="18">C52-C53</f>
        <v>75072159.6823646</v>
      </c>
      <c r="D54" s="353">
        <f t="shared" si="18"/>
        <v>814919.02872085</v>
      </c>
      <c r="E54" s="353">
        <f t="shared" si="18"/>
        <v>34808330.1986415</v>
      </c>
      <c r="F54" s="353">
        <f t="shared" si="18"/>
        <v>-232173512.590566</v>
      </c>
      <c r="G54" s="353">
        <f t="shared" si="18"/>
        <v>10677722.1353208</v>
      </c>
      <c r="H54" s="353">
        <f t="shared" si="18"/>
        <v>-215129252.210566</v>
      </c>
      <c r="I54" s="353">
        <f t="shared" si="18"/>
        <v>-4351013.01</v>
      </c>
      <c r="J54" s="353">
        <f t="shared" si="18"/>
        <v>-12693247.37</v>
      </c>
      <c r="K54" s="353">
        <f t="shared" si="18"/>
        <v>-57266793.6586463</v>
      </c>
      <c r="L54" s="353">
        <f t="shared" si="18"/>
        <v>-15899177.0028716</v>
      </c>
      <c r="M54" s="353">
        <f t="shared" si="18"/>
        <v>-5034029.37218798</v>
      </c>
      <c r="N54" s="353">
        <f t="shared" si="18"/>
        <v>544491.381341991</v>
      </c>
      <c r="O54" s="353">
        <f t="shared" si="18"/>
        <v>16564804.6071139</v>
      </c>
      <c r="P54" s="353">
        <f t="shared" si="18"/>
        <v>-49640726.2497291</v>
      </c>
      <c r="Q54" s="353">
        <f t="shared" si="18"/>
        <v>-3802157.02231348</v>
      </c>
      <c r="R54" s="353">
        <f t="shared" si="18"/>
        <v>1209911.53</v>
      </c>
      <c r="S54" s="353">
        <f t="shared" si="18"/>
        <v>25788682.8644853</v>
      </c>
      <c r="T54" s="353">
        <f t="shared" si="18"/>
        <v>-2472958.06615325</v>
      </c>
      <c r="U54" s="353">
        <f t="shared" si="18"/>
        <v>26723337.1110233</v>
      </c>
      <c r="V54" s="353">
        <f t="shared" si="18"/>
        <v>3797795.01772213</v>
      </c>
      <c r="W54" s="353">
        <f t="shared" si="18"/>
        <v>-755394.998106887</v>
      </c>
      <c r="X54" s="353">
        <f t="shared" si="18"/>
        <v>-460174</v>
      </c>
      <c r="Y54" s="353">
        <f t="shared" si="18"/>
        <v>-50311</v>
      </c>
      <c r="Z54" s="353">
        <f t="shared" si="18"/>
        <v>-993611.2</v>
      </c>
      <c r="AA54" s="353">
        <f t="shared" si="18"/>
        <v>-1953293.66</v>
      </c>
      <c r="AB54" s="353">
        <f t="shared" si="18"/>
        <v>0</v>
      </c>
    </row>
    <row r="55" s="313" customFormat="1" spans="1:28">
      <c r="A55" s="47" t="s">
        <v>53</v>
      </c>
      <c r="B55" s="348">
        <f t="shared" si="10"/>
        <v>152956214.48</v>
      </c>
      <c r="C55" s="349"/>
      <c r="D55" s="349">
        <f>SUMIFS(考核调整事项表!$C:$C,考核调整事项表!$B:$B,累计利润调整表!$A55,考核调整事项表!$D:$D,D$3)+SUMIFS(考核调整事项表!$E:$E,考核调整事项表!$B:$B,累计利润调整表!$A55,考核调整事项表!$F:$F,D$3)+G55+R55+AA55+AB55</f>
        <v>-42378427.44</v>
      </c>
      <c r="E55" s="349">
        <f t="shared" ref="E55:T55" si="19">-E26</f>
        <v>-1329348.3</v>
      </c>
      <c r="F55" s="349">
        <f t="shared" si="15"/>
        <v>199128984.64</v>
      </c>
      <c r="G55" s="349">
        <f>-G26</f>
        <v>-42378427.44</v>
      </c>
      <c r="H55" s="349">
        <f>-H26</f>
        <v>196083899.57</v>
      </c>
      <c r="I55" s="349">
        <f>-I26</f>
        <v>-834906.92</v>
      </c>
      <c r="J55" s="349">
        <f>-J26</f>
        <v>3879991.99</v>
      </c>
      <c r="K55" s="349">
        <f t="shared" si="13"/>
        <v>-2464994.42</v>
      </c>
      <c r="L55" s="349">
        <f t="shared" si="19"/>
        <v>6364994.9</v>
      </c>
      <c r="M55" s="349">
        <f t="shared" si="19"/>
        <v>0</v>
      </c>
      <c r="N55" s="349">
        <f t="shared" si="19"/>
        <v>0</v>
      </c>
      <c r="O55" s="349">
        <f t="shared" si="19"/>
        <v>-8829989.32</v>
      </c>
      <c r="P55" s="349">
        <f t="shared" si="19"/>
        <v>0</v>
      </c>
      <c r="Q55" s="349">
        <f t="shared" si="19"/>
        <v>0</v>
      </c>
      <c r="R55" s="349">
        <f t="shared" si="19"/>
        <v>0</v>
      </c>
      <c r="S55" s="349">
        <f t="shared" si="11"/>
        <v>0</v>
      </c>
      <c r="T55" s="349">
        <f t="shared" si="19"/>
        <v>0</v>
      </c>
      <c r="U55" s="349">
        <f t="shared" ref="U55:AB55" si="20">-U26</f>
        <v>0</v>
      </c>
      <c r="V55" s="349">
        <f t="shared" si="20"/>
        <v>0</v>
      </c>
      <c r="W55" s="349">
        <f t="shared" si="20"/>
        <v>0</v>
      </c>
      <c r="X55" s="349">
        <f t="shared" si="20"/>
        <v>0</v>
      </c>
      <c r="Y55" s="349">
        <f t="shared" si="20"/>
        <v>0</v>
      </c>
      <c r="Z55" s="349">
        <f t="shared" si="20"/>
        <v>0</v>
      </c>
      <c r="AA55" s="349">
        <f t="shared" si="20"/>
        <v>0</v>
      </c>
      <c r="AB55" s="349">
        <f t="shared" si="20"/>
        <v>0</v>
      </c>
    </row>
    <row r="56" s="313" customFormat="1" ht="14.25" spans="1:28">
      <c r="A56" s="48" t="s">
        <v>54</v>
      </c>
      <c r="B56" s="354">
        <f>B54+B55</f>
        <v>0.00500002503395081</v>
      </c>
      <c r="C56" s="354">
        <f t="shared" ref="C56:AB56" si="21">C54+C55</f>
        <v>75072159.6823646</v>
      </c>
      <c r="D56" s="354">
        <f t="shared" si="21"/>
        <v>-41563508.4112791</v>
      </c>
      <c r="E56" s="354">
        <f t="shared" si="21"/>
        <v>33478981.8986415</v>
      </c>
      <c r="F56" s="354">
        <f t="shared" si="21"/>
        <v>-33044527.9505661</v>
      </c>
      <c r="G56" s="354">
        <f t="shared" si="21"/>
        <v>-31700705.3046792</v>
      </c>
      <c r="H56" s="354">
        <f t="shared" si="21"/>
        <v>-19045352.6405661</v>
      </c>
      <c r="I56" s="354">
        <f t="shared" si="21"/>
        <v>-5185919.93</v>
      </c>
      <c r="J56" s="354">
        <f t="shared" si="21"/>
        <v>-8813255.38</v>
      </c>
      <c r="K56" s="354">
        <f t="shared" si="21"/>
        <v>-59731788.0786463</v>
      </c>
      <c r="L56" s="354">
        <f t="shared" si="21"/>
        <v>-9534182.10287157</v>
      </c>
      <c r="M56" s="354">
        <f t="shared" si="21"/>
        <v>-5034029.37218798</v>
      </c>
      <c r="N56" s="354">
        <f t="shared" si="21"/>
        <v>544491.381341991</v>
      </c>
      <c r="O56" s="354">
        <f t="shared" si="21"/>
        <v>7734815.28711389</v>
      </c>
      <c r="P56" s="354">
        <f t="shared" si="21"/>
        <v>-49640726.2497291</v>
      </c>
      <c r="Q56" s="354">
        <f t="shared" si="21"/>
        <v>-3802157.02231348</v>
      </c>
      <c r="R56" s="354">
        <f t="shared" si="21"/>
        <v>1209911.53</v>
      </c>
      <c r="S56" s="354">
        <f t="shared" si="21"/>
        <v>25788682.8644853</v>
      </c>
      <c r="T56" s="354">
        <f t="shared" si="21"/>
        <v>-2472958.06615325</v>
      </c>
      <c r="U56" s="354">
        <f t="shared" si="21"/>
        <v>26723337.1110233</v>
      </c>
      <c r="V56" s="354">
        <f t="shared" si="21"/>
        <v>3797795.01772213</v>
      </c>
      <c r="W56" s="354">
        <f t="shared" si="21"/>
        <v>-755394.998106887</v>
      </c>
      <c r="X56" s="354">
        <f t="shared" si="21"/>
        <v>-460174</v>
      </c>
      <c r="Y56" s="354">
        <f t="shared" si="21"/>
        <v>-50311</v>
      </c>
      <c r="Z56" s="354">
        <f t="shared" si="21"/>
        <v>-993611.2</v>
      </c>
      <c r="AA56" s="354">
        <f t="shared" si="21"/>
        <v>-1953293.66</v>
      </c>
      <c r="AB56" s="354">
        <f t="shared" si="21"/>
        <v>0</v>
      </c>
    </row>
    <row r="57" s="311" customFormat="1" spans="1:28">
      <c r="A57" s="311" t="s">
        <v>55</v>
      </c>
      <c r="B57" s="342">
        <f>B58-B41</f>
        <v>-0.00666671991348267</v>
      </c>
      <c r="C57" s="342">
        <f>C46+C45-C44</f>
        <v>0</v>
      </c>
      <c r="D57" s="342">
        <f t="shared" ref="D57:AB57" si="22">D46+D45-D44</f>
        <v>0</v>
      </c>
      <c r="E57" s="342">
        <f t="shared" si="22"/>
        <v>0</v>
      </c>
      <c r="F57" s="342">
        <f t="shared" si="22"/>
        <v>0</v>
      </c>
      <c r="G57" s="342">
        <f t="shared" si="22"/>
        <v>0</v>
      </c>
      <c r="H57" s="342">
        <f t="shared" si="22"/>
        <v>0</v>
      </c>
      <c r="I57" s="342">
        <f t="shared" si="22"/>
        <v>0</v>
      </c>
      <c r="J57" s="342">
        <f t="shared" si="22"/>
        <v>0</v>
      </c>
      <c r="K57" s="342">
        <f t="shared" si="22"/>
        <v>0</v>
      </c>
      <c r="L57" s="342">
        <f t="shared" si="22"/>
        <v>0</v>
      </c>
      <c r="M57" s="342">
        <f t="shared" si="22"/>
        <v>0</v>
      </c>
      <c r="N57" s="342">
        <f t="shared" si="22"/>
        <v>0</v>
      </c>
      <c r="O57" s="342">
        <f t="shared" si="22"/>
        <v>0</v>
      </c>
      <c r="P57" s="342">
        <f t="shared" si="22"/>
        <v>0</v>
      </c>
      <c r="Q57" s="342">
        <f t="shared" si="22"/>
        <v>0</v>
      </c>
      <c r="R57" s="342">
        <f t="shared" si="22"/>
        <v>0</v>
      </c>
      <c r="S57" s="342">
        <f t="shared" si="22"/>
        <v>0</v>
      </c>
      <c r="T57" s="342">
        <f t="shared" si="22"/>
        <v>0</v>
      </c>
      <c r="U57" s="342">
        <f t="shared" si="22"/>
        <v>0</v>
      </c>
      <c r="V57" s="342">
        <f t="shared" si="22"/>
        <v>0</v>
      </c>
      <c r="W57" s="342">
        <f t="shared" si="22"/>
        <v>0</v>
      </c>
      <c r="X57" s="342">
        <f t="shared" si="22"/>
        <v>0</v>
      </c>
      <c r="Y57" s="342">
        <f t="shared" si="22"/>
        <v>0</v>
      </c>
      <c r="Z57" s="342">
        <f t="shared" si="22"/>
        <v>0</v>
      </c>
      <c r="AA57" s="342">
        <f t="shared" si="22"/>
        <v>0</v>
      </c>
      <c r="AB57" s="342">
        <f t="shared" si="22"/>
        <v>0</v>
      </c>
    </row>
    <row r="58" s="311" customFormat="1" spans="1:28">
      <c r="A58" s="52" t="s">
        <v>53</v>
      </c>
      <c r="B58" s="52">
        <f>B26/0.75</f>
        <v>-203941619.306667</v>
      </c>
      <c r="C58" s="52">
        <f>C26/0.75</f>
        <v>0</v>
      </c>
      <c r="D58" s="52">
        <f>D26/0.75</f>
        <v>56504569.92</v>
      </c>
      <c r="E58" s="355">
        <f>E26/0.75</f>
        <v>1772464.4</v>
      </c>
      <c r="F58" s="52">
        <f t="shared" ref="F58:AB58" si="23">F26/0.75</f>
        <v>-265505312.853333</v>
      </c>
      <c r="G58" s="52">
        <f t="shared" si="23"/>
        <v>56504569.92</v>
      </c>
      <c r="H58" s="52">
        <f t="shared" si="23"/>
        <v>-261445199.426667</v>
      </c>
      <c r="I58" s="52">
        <f t="shared" si="23"/>
        <v>1113209.22666667</v>
      </c>
      <c r="J58" s="52">
        <f t="shared" si="23"/>
        <v>-5173322.65333333</v>
      </c>
      <c r="K58" s="52">
        <f t="shared" si="23"/>
        <v>3286659.22666667</v>
      </c>
      <c r="L58" s="52">
        <f t="shared" si="23"/>
        <v>-8486659.86666667</v>
      </c>
      <c r="M58" s="52">
        <f t="shared" si="23"/>
        <v>0</v>
      </c>
      <c r="N58" s="52">
        <f t="shared" si="23"/>
        <v>0</v>
      </c>
      <c r="O58" s="52">
        <f t="shared" si="23"/>
        <v>11773319.0933333</v>
      </c>
      <c r="P58" s="52">
        <f t="shared" si="23"/>
        <v>0</v>
      </c>
      <c r="Q58" s="52">
        <f t="shared" si="23"/>
        <v>0</v>
      </c>
      <c r="R58" s="52">
        <f t="shared" si="23"/>
        <v>0</v>
      </c>
      <c r="S58" s="52">
        <f t="shared" si="23"/>
        <v>0</v>
      </c>
      <c r="T58" s="52">
        <f t="shared" si="23"/>
        <v>0</v>
      </c>
      <c r="U58" s="52">
        <f t="shared" si="23"/>
        <v>0</v>
      </c>
      <c r="V58" s="52">
        <f t="shared" si="23"/>
        <v>0</v>
      </c>
      <c r="W58" s="52"/>
      <c r="X58" s="52"/>
      <c r="Y58" s="52"/>
      <c r="Z58" s="52"/>
      <c r="AA58" s="52">
        <f t="shared" si="23"/>
        <v>0</v>
      </c>
      <c r="AB58" s="52">
        <f t="shared" si="23"/>
        <v>0</v>
      </c>
    </row>
    <row r="59" s="311" customFormat="1" spans="1:28">
      <c r="A59" s="52" t="s">
        <v>70</v>
      </c>
      <c r="B59" s="52"/>
      <c r="C59" s="52">
        <f>C60*$F$2*$G$2/12</f>
        <v>0</v>
      </c>
      <c r="D59" s="52">
        <f>D61*$F$2*$G$2/12</f>
        <v>0</v>
      </c>
      <c r="E59" s="52">
        <f>E60*$F$2*$G$2/12</f>
        <v>289622844.20524</v>
      </c>
      <c r="F59" s="52">
        <f t="shared" ref="F59:F61" si="24">SUM(G59:J59)</f>
        <v>52890383.767</v>
      </c>
      <c r="G59" s="52">
        <f>G60*$F$2*$G$2/12</f>
        <v>471156.72344</v>
      </c>
      <c r="H59" s="52">
        <f>H60*$F$2*$G$2/12</f>
        <v>37206159.86776</v>
      </c>
      <c r="I59" s="52">
        <f>I60*$F$2*$G$2/12</f>
        <v>4819251.62472</v>
      </c>
      <c r="J59" s="52">
        <f>J60*$F$2*$G$2/12</f>
        <v>10393815.55108</v>
      </c>
      <c r="K59" s="52">
        <f>SUM(L59:R59)</f>
        <v>188437388.9424</v>
      </c>
      <c r="L59" s="52">
        <f t="shared" ref="L59:R59" si="25">L60*$F$2*$G$2/12</f>
        <v>39989602.82564</v>
      </c>
      <c r="M59" s="52">
        <f t="shared" si="25"/>
        <v>41029602.82512</v>
      </c>
      <c r="N59" s="52">
        <f t="shared" si="25"/>
        <v>864478.27388</v>
      </c>
      <c r="O59" s="52">
        <f t="shared" si="25"/>
        <v>87812625.14128</v>
      </c>
      <c r="P59" s="52">
        <f t="shared" si="25"/>
        <v>15979344.39608</v>
      </c>
      <c r="Q59" s="52">
        <f t="shared" si="25"/>
        <v>2761735.4804</v>
      </c>
      <c r="R59" s="52">
        <f t="shared" si="25"/>
        <v>0</v>
      </c>
      <c r="S59" s="52">
        <f>SUM(T59:AA59)</f>
        <v>76034.00948</v>
      </c>
      <c r="T59" s="52">
        <f>T60*$F$2*$G$2/12</f>
        <v>0</v>
      </c>
      <c r="U59" s="52">
        <f t="shared" ref="U59" si="26">U60*$F$2*$G$2/12</f>
        <v>76034.00948</v>
      </c>
      <c r="V59" s="52"/>
      <c r="W59" s="52"/>
      <c r="X59" s="52"/>
      <c r="Y59" s="52"/>
      <c r="Z59" s="52"/>
      <c r="AA59" s="52">
        <f>AA60*$F$2*$G$2/12</f>
        <v>0</v>
      </c>
      <c r="AB59" s="52">
        <f>AB60*$F$2*$G$2/12</f>
        <v>0</v>
      </c>
    </row>
    <row r="60" s="311" customFormat="1" spans="1:28">
      <c r="A60" s="52" t="s">
        <v>71</v>
      </c>
      <c r="B60" s="52">
        <f>SUM(C60:F60)+K60+S60</f>
        <v>10212050979.31</v>
      </c>
      <c r="C60" s="52">
        <f>C61*10000</f>
        <v>0</v>
      </c>
      <c r="D60" s="52">
        <f>D61*10000</f>
        <v>0</v>
      </c>
      <c r="E60" s="52">
        <f>资金!E9+资金!F9</f>
        <v>5569670080.87</v>
      </c>
      <c r="F60" s="52">
        <f t="shared" si="24"/>
        <v>1017122764.75</v>
      </c>
      <c r="G60" s="52">
        <f>资金!M9</f>
        <v>9060706.22</v>
      </c>
      <c r="H60" s="52">
        <f>资金!I9</f>
        <v>715503074.38</v>
      </c>
      <c r="I60" s="52">
        <f>资金!D9</f>
        <v>92677915.86</v>
      </c>
      <c r="J60" s="52">
        <f>资金!H9</f>
        <v>199881068.29</v>
      </c>
      <c r="K60" s="52">
        <f>SUM(L60:R60)</f>
        <v>3623795941.2</v>
      </c>
      <c r="L60" s="52">
        <f>资金!C9</f>
        <v>769030823.57</v>
      </c>
      <c r="M60" s="52">
        <f>资金!B9</f>
        <v>789030823.56</v>
      </c>
      <c r="N60" s="52">
        <f>资金!J9</f>
        <v>16624582.19</v>
      </c>
      <c r="O60" s="52">
        <f>资金!L9</f>
        <v>1688704329.64</v>
      </c>
      <c r="P60" s="52">
        <f>资金!N9</f>
        <v>307295084.54</v>
      </c>
      <c r="Q60" s="52">
        <f>资金!G9</f>
        <v>53110297.7</v>
      </c>
      <c r="R60" s="52">
        <f>R61*10000</f>
        <v>0</v>
      </c>
      <c r="S60" s="52">
        <f>SUM(T60:AA60)</f>
        <v>1462192.49</v>
      </c>
      <c r="T60" s="52">
        <f>T61*10000</f>
        <v>0</v>
      </c>
      <c r="U60" s="52">
        <f>资金!K9</f>
        <v>1462192.49</v>
      </c>
      <c r="V60" s="52"/>
      <c r="W60" s="52"/>
      <c r="X60" s="52"/>
      <c r="Y60" s="52"/>
      <c r="Z60" s="52"/>
      <c r="AA60" s="52">
        <f>AA61*10000</f>
        <v>0</v>
      </c>
      <c r="AB60" s="52">
        <f>AB61*10000</f>
        <v>0</v>
      </c>
    </row>
    <row r="61" s="312" customFormat="1" ht="12" spans="1:28">
      <c r="A61" s="52" t="s">
        <v>72</v>
      </c>
      <c r="B61" s="52">
        <f>SUM(C61:F61)+K61+S61</f>
        <v>1002889.921508</v>
      </c>
      <c r="C61" s="52"/>
      <c r="D61" s="52"/>
      <c r="E61" s="52">
        <v>542133.42</v>
      </c>
      <c r="F61" s="52">
        <f t="shared" si="24"/>
        <v>101743.848987</v>
      </c>
      <c r="G61" s="52">
        <v>481.295767</v>
      </c>
      <c r="H61" s="52">
        <v>72191.41322</v>
      </c>
      <c r="I61" s="52">
        <v>7328.39</v>
      </c>
      <c r="J61" s="52">
        <v>21742.75</v>
      </c>
      <c r="K61" s="52">
        <f>SUM(L61:R61)</f>
        <v>358903.863721</v>
      </c>
      <c r="L61" s="52">
        <f>799890350.87/10000</f>
        <v>79989.035087</v>
      </c>
      <c r="M61" s="52">
        <f>803250286.34/10000</f>
        <v>80325.028634</v>
      </c>
      <c r="N61" s="52">
        <v>190.12</v>
      </c>
      <c r="O61" s="52">
        <v>165026.5</v>
      </c>
      <c r="P61" s="52">
        <v>30291.28</v>
      </c>
      <c r="Q61" s="52">
        <v>3081.9</v>
      </c>
      <c r="R61" s="52"/>
      <c r="S61" s="52">
        <f>SUM(T61:AA61)</f>
        <v>108.7888</v>
      </c>
      <c r="T61" s="52"/>
      <c r="U61" s="52">
        <v>108.7888</v>
      </c>
      <c r="V61" s="52"/>
      <c r="W61" s="52"/>
      <c r="X61" s="52"/>
      <c r="Y61" s="52"/>
      <c r="Z61" s="52"/>
      <c r="AA61" s="52"/>
      <c r="AB61" s="52"/>
    </row>
    <row r="62" s="311" customFormat="1" spans="5:27">
      <c r="E62" s="311">
        <f>E60+F60+K60+S60</f>
        <v>10212050979.31</v>
      </c>
      <c r="O62" s="311">
        <f>J91+H91+O91</f>
        <v>-341164742.333572</v>
      </c>
      <c r="T62" s="311">
        <f>T88-[9]累计利润调整表!$Q$87</f>
        <v>-132616.799999999</v>
      </c>
      <c r="U62" s="311">
        <f>U88-[9]累计利润调整表!$R$87</f>
        <v>-441645.279999644</v>
      </c>
      <c r="V62" s="311">
        <f>V91-[9]累计利润调整表!$S$87</f>
        <v>0</v>
      </c>
      <c r="W62" s="311">
        <f>W88-[9]累计利润调整表!$W$87</f>
        <v>9.60426405072212e-10</v>
      </c>
      <c r="Z62" s="311">
        <f>Z91-[9]累计利润调整表!$X$87</f>
        <v>0</v>
      </c>
      <c r="AA62" s="311">
        <f>AA88-[9]累计利润调整表!$T$87</f>
        <v>0</v>
      </c>
    </row>
    <row r="63" s="311" customFormat="1" ht="14.25" spans="1:28">
      <c r="A63" s="344" t="s">
        <v>73</v>
      </c>
      <c r="B63" s="356" t="s">
        <v>74</v>
      </c>
      <c r="C63" s="323"/>
      <c r="D63" s="323"/>
      <c r="E63" s="323">
        <f>[10]累计利润调整表!$E$64-E65</f>
        <v>8855762.00343382</v>
      </c>
      <c r="F63" s="323"/>
      <c r="G63" s="357">
        <f>G65-[11]累计利润调整表!$I$64</f>
        <v>144900.004811317</v>
      </c>
      <c r="H63" s="357">
        <f>H65-[11]累计利润调整表!$G$64</f>
        <v>0</v>
      </c>
      <c r="I63" s="357">
        <f>I65-[11]累计利润调整表!$H$64</f>
        <v>13758.4400000032</v>
      </c>
      <c r="J63" s="357">
        <f>J65-[11]累计利润调整表!$J$64</f>
        <v>0</v>
      </c>
      <c r="K63" s="323"/>
      <c r="L63" s="357">
        <f>L65-[5]累计利润调整表!$B$64</f>
        <v>1500</v>
      </c>
      <c r="M63" s="357">
        <f>M65-[5]累计利润调整表!$C$64</f>
        <v>1499.99547170103</v>
      </c>
      <c r="N63" s="357">
        <f>N65-[5]累计利润调整表!$D$64</f>
        <v>13758.4399999995</v>
      </c>
      <c r="O63" s="357">
        <f>O65+H65+J65</f>
        <v>-186115452.040566</v>
      </c>
      <c r="P63" s="357"/>
      <c r="Q63" s="357"/>
      <c r="R63" s="360"/>
      <c r="S63" s="323"/>
      <c r="T63" s="360">
        <f>[8]累计利润调整表!Q64-T65</f>
        <v>160000</v>
      </c>
      <c r="U63" s="360">
        <f>[8]累计利润调整表!R64-U65</f>
        <v>0</v>
      </c>
      <c r="V63" s="360">
        <f>[8]累计利润调整表!S64-V65</f>
        <v>0</v>
      </c>
      <c r="W63" s="360">
        <f>[8]累计利润调整表!T64-W65</f>
        <v>-3490750.4</v>
      </c>
      <c r="X63" s="360">
        <f>[8]累计利润调整表!U64-X65</f>
        <v>0</v>
      </c>
      <c r="Y63" s="360">
        <f>[8]累计利润调整表!V64-Y65</f>
        <v>0</v>
      </c>
      <c r="Z63" s="360">
        <f>[8]累计利润调整表!W64-Z65</f>
        <v>3490750.4</v>
      </c>
      <c r="AA63" s="360">
        <f>[8]累计利润调整表!X64-AA65</f>
        <v>0</v>
      </c>
      <c r="AB63" s="360">
        <f>[8]累计利润调整表!Y64-AB65</f>
        <v>1182460.38</v>
      </c>
    </row>
    <row r="64" s="311" customFormat="1" ht="14.25" customHeight="1" spans="1:28">
      <c r="A64" s="28" t="s">
        <v>3</v>
      </c>
      <c r="B64" s="28" t="str">
        <f t="shared" ref="B64:V64" si="27">B3</f>
        <v>合计</v>
      </c>
      <c r="C64" s="28" t="str">
        <f t="shared" si="27"/>
        <v>其他</v>
      </c>
      <c r="D64" s="28" t="str">
        <f t="shared" si="27"/>
        <v>总部中后台</v>
      </c>
      <c r="E64" s="28" t="str">
        <f t="shared" si="27"/>
        <v>经纪业务部</v>
      </c>
      <c r="F64" s="28" t="str">
        <f t="shared" si="27"/>
        <v>资管业务</v>
      </c>
      <c r="G64" s="33" t="str">
        <f t="shared" si="27"/>
        <v>资产管理部</v>
      </c>
      <c r="H64" s="33" t="str">
        <f t="shared" si="27"/>
        <v>权益产品投资部</v>
      </c>
      <c r="I64" s="33" t="str">
        <f t="shared" si="27"/>
        <v>固收产品投资部</v>
      </c>
      <c r="J64" s="33" t="str">
        <f t="shared" si="27"/>
        <v>量化产品投资部</v>
      </c>
      <c r="K64" s="28" t="str">
        <f t="shared" si="27"/>
        <v>深分公司合计</v>
      </c>
      <c r="L64" s="33" t="str">
        <f t="shared" si="27"/>
        <v>固定收益投资部</v>
      </c>
      <c r="M64" s="33" t="str">
        <f t="shared" si="27"/>
        <v>固定收益市场部</v>
      </c>
      <c r="N64" s="33" t="str">
        <f t="shared" si="27"/>
        <v>投顾业务部</v>
      </c>
      <c r="O64" s="33" t="str">
        <f t="shared" si="27"/>
        <v>证券投资部</v>
      </c>
      <c r="P64" s="33" t="str">
        <f t="shared" si="27"/>
        <v>做市业务部</v>
      </c>
      <c r="Q64" s="33" t="str">
        <f t="shared" si="27"/>
        <v>金融衍生品部</v>
      </c>
      <c r="R64" s="33" t="str">
        <f t="shared" si="27"/>
        <v>深圳管理部</v>
      </c>
      <c r="S64" s="28" t="str">
        <f t="shared" si="27"/>
        <v>投资银行合计</v>
      </c>
      <c r="T64" s="33" t="str">
        <f t="shared" si="27"/>
        <v>投资银行三部</v>
      </c>
      <c r="U64" s="33" t="str">
        <f t="shared" si="27"/>
        <v>投资银行一部</v>
      </c>
      <c r="V64" s="33" t="str">
        <f t="shared" si="27"/>
        <v>投资银行二部</v>
      </c>
      <c r="W64" s="33" t="s">
        <v>25</v>
      </c>
      <c r="X64" s="33" t="s">
        <v>26</v>
      </c>
      <c r="Y64" s="33" t="s">
        <v>27</v>
      </c>
      <c r="Z64" s="33" t="s">
        <v>28</v>
      </c>
      <c r="AA64" s="28" t="s">
        <v>29</v>
      </c>
      <c r="AB64" s="28" t="s">
        <v>57</v>
      </c>
    </row>
    <row r="65" s="314" customFormat="1" spans="1:28">
      <c r="A65" s="346" t="s">
        <v>31</v>
      </c>
      <c r="B65" s="346">
        <f t="shared" ref="B65:AA65" si="28">B4+B33</f>
        <v>1043599751.62</v>
      </c>
      <c r="C65" s="346">
        <f t="shared" si="28"/>
        <v>41520049.3064151</v>
      </c>
      <c r="D65" s="346">
        <f t="shared" si="28"/>
        <v>-266444793.129901</v>
      </c>
      <c r="E65" s="346">
        <f t="shared" si="28"/>
        <v>998487404.896566</v>
      </c>
      <c r="F65" s="346">
        <f t="shared" si="28"/>
        <v>-254093008.420566</v>
      </c>
      <c r="G65" s="346">
        <f t="shared" si="28"/>
        <v>23617606.2953207</v>
      </c>
      <c r="H65" s="346">
        <f t="shared" si="28"/>
        <v>-262895532.170566</v>
      </c>
      <c r="I65" s="346">
        <f t="shared" si="28"/>
        <v>16162182.79</v>
      </c>
      <c r="J65" s="346">
        <f t="shared" si="28"/>
        <v>-7359659.04</v>
      </c>
      <c r="K65" s="346">
        <f t="shared" si="28"/>
        <v>215508027.843</v>
      </c>
      <c r="L65" s="365">
        <f t="shared" si="28"/>
        <v>56656912.31</v>
      </c>
      <c r="M65" s="346">
        <f t="shared" si="28"/>
        <v>38011312.013</v>
      </c>
      <c r="N65" s="346">
        <f t="shared" si="28"/>
        <v>5574989.15</v>
      </c>
      <c r="O65" s="346">
        <f t="shared" si="28"/>
        <v>84139739.17</v>
      </c>
      <c r="P65" s="346">
        <f t="shared" si="28"/>
        <v>27892801.95</v>
      </c>
      <c r="Q65" s="346">
        <f t="shared" si="28"/>
        <v>3232273.25</v>
      </c>
      <c r="R65" s="346">
        <f t="shared" si="28"/>
        <v>9393.96</v>
      </c>
      <c r="S65" s="346">
        <f t="shared" si="28"/>
        <v>308622071.124486</v>
      </c>
      <c r="T65" s="346">
        <f t="shared" si="28"/>
        <v>21245312.429434</v>
      </c>
      <c r="U65" s="346">
        <f t="shared" si="28"/>
        <v>253615888.748386</v>
      </c>
      <c r="V65" s="346">
        <f t="shared" si="28"/>
        <v>30270119.5466667</v>
      </c>
      <c r="W65" s="346">
        <f t="shared" ref="W65:Z71" si="29">W4+W33</f>
        <v>3490750.4</v>
      </c>
      <c r="X65" s="346">
        <f t="shared" si="29"/>
        <v>0</v>
      </c>
      <c r="Y65" s="346">
        <f t="shared" si="29"/>
        <v>0</v>
      </c>
      <c r="Z65" s="346">
        <f t="shared" si="29"/>
        <v>0</v>
      </c>
      <c r="AA65" s="346">
        <f t="shared" si="28"/>
        <v>0</v>
      </c>
      <c r="AB65" s="346">
        <f t="shared" ref="AB65:AB71" si="30">AB4+AB33</f>
        <v>181.13</v>
      </c>
    </row>
    <row r="66" s="313" customFormat="1" spans="1:28">
      <c r="A66" s="41" t="s">
        <v>58</v>
      </c>
      <c r="B66" s="42">
        <f t="shared" ref="B66:AA66" si="31">B5+B34</f>
        <v>807669141.73</v>
      </c>
      <c r="C66" s="42">
        <f t="shared" si="31"/>
        <v>-9303030.8735849</v>
      </c>
      <c r="D66" s="42">
        <f t="shared" si="31"/>
        <v>22313714.0953208</v>
      </c>
      <c r="E66" s="42">
        <f t="shared" si="31"/>
        <v>444120260.086566</v>
      </c>
      <c r="F66" s="42">
        <f t="shared" si="31"/>
        <v>45375171.869434</v>
      </c>
      <c r="G66" s="42">
        <f t="shared" si="31"/>
        <v>23276790.9353208</v>
      </c>
      <c r="H66" s="42">
        <f t="shared" si="31"/>
        <v>30663415.789434</v>
      </c>
      <c r="I66" s="42">
        <f t="shared" si="31"/>
        <v>11767977.09</v>
      </c>
      <c r="J66" s="42">
        <f t="shared" si="31"/>
        <v>2943778.99</v>
      </c>
      <c r="K66" s="42">
        <f t="shared" si="31"/>
        <v>-830234.800000001</v>
      </c>
      <c r="L66" s="366">
        <f t="shared" si="31"/>
        <v>-2323052.16</v>
      </c>
      <c r="M66" s="366">
        <f t="shared" si="31"/>
        <v>3054442.33</v>
      </c>
      <c r="N66" s="42">
        <f t="shared" si="31"/>
        <v>4113422.46</v>
      </c>
      <c r="O66" s="42">
        <f t="shared" si="31"/>
        <v>-4944429.49</v>
      </c>
      <c r="P66" s="42">
        <f t="shared" si="31"/>
        <v>-566500</v>
      </c>
      <c r="Q66" s="42">
        <f t="shared" si="31"/>
        <v>-164117.94</v>
      </c>
      <c r="R66" s="42">
        <f t="shared" si="31"/>
        <v>-2722</v>
      </c>
      <c r="S66" s="42">
        <f t="shared" si="31"/>
        <v>305993261.352264</v>
      </c>
      <c r="T66" s="42">
        <f t="shared" si="31"/>
        <v>21310521.299434</v>
      </c>
      <c r="U66" s="42">
        <f t="shared" si="31"/>
        <v>250492626.77283</v>
      </c>
      <c r="V66" s="42">
        <f t="shared" si="31"/>
        <v>30109452.88</v>
      </c>
      <c r="W66" s="42">
        <f t="shared" si="29"/>
        <v>4080660.4</v>
      </c>
      <c r="X66" s="42">
        <f t="shared" si="29"/>
        <v>0</v>
      </c>
      <c r="Y66" s="42">
        <f t="shared" si="29"/>
        <v>0</v>
      </c>
      <c r="Z66" s="42">
        <f t="shared" si="29"/>
        <v>0</v>
      </c>
      <c r="AA66" s="42">
        <f t="shared" si="31"/>
        <v>0</v>
      </c>
      <c r="AB66" s="42">
        <f t="shared" si="30"/>
        <v>0</v>
      </c>
    </row>
    <row r="67" s="313" customFormat="1" spans="1:28">
      <c r="A67" s="350" t="s">
        <v>33</v>
      </c>
      <c r="B67" s="350">
        <f t="shared" ref="B67:AA67" si="32">B6+B35</f>
        <v>436274942.1</v>
      </c>
      <c r="C67" s="350">
        <f t="shared" si="32"/>
        <v>-50</v>
      </c>
      <c r="D67" s="350">
        <f t="shared" si="32"/>
        <v>-43795.07</v>
      </c>
      <c r="E67" s="350">
        <f t="shared" si="32"/>
        <v>433570593.8</v>
      </c>
      <c r="F67" s="350">
        <f t="shared" si="32"/>
        <v>530868.75</v>
      </c>
      <c r="G67" s="350">
        <f t="shared" si="32"/>
        <v>414984.17</v>
      </c>
      <c r="H67" s="350">
        <f t="shared" si="32"/>
        <v>0</v>
      </c>
      <c r="I67" s="350">
        <f t="shared" si="32"/>
        <v>0</v>
      </c>
      <c r="J67" s="350">
        <f t="shared" si="32"/>
        <v>530868.75</v>
      </c>
      <c r="K67" s="350">
        <f t="shared" si="32"/>
        <v>2217324.62</v>
      </c>
      <c r="L67" s="367">
        <f t="shared" si="32"/>
        <v>0</v>
      </c>
      <c r="M67" s="367">
        <f t="shared" si="32"/>
        <v>2171981.13</v>
      </c>
      <c r="N67" s="350">
        <f t="shared" si="32"/>
        <v>-112109.08</v>
      </c>
      <c r="O67" s="350">
        <f t="shared" si="32"/>
        <v>176670.51</v>
      </c>
      <c r="P67" s="350">
        <f t="shared" si="32"/>
        <v>0</v>
      </c>
      <c r="Q67" s="350">
        <f t="shared" si="32"/>
        <v>-19217.94</v>
      </c>
      <c r="R67" s="350">
        <f t="shared" si="32"/>
        <v>0</v>
      </c>
      <c r="S67" s="350">
        <f t="shared" si="32"/>
        <v>0</v>
      </c>
      <c r="T67" s="350">
        <f t="shared" si="32"/>
        <v>0</v>
      </c>
      <c r="U67" s="350">
        <f t="shared" si="32"/>
        <v>0</v>
      </c>
      <c r="V67" s="350">
        <f t="shared" si="32"/>
        <v>0</v>
      </c>
      <c r="W67" s="350">
        <f t="shared" si="29"/>
        <v>0</v>
      </c>
      <c r="X67" s="350">
        <f t="shared" si="29"/>
        <v>0</v>
      </c>
      <c r="Y67" s="350">
        <f t="shared" si="29"/>
        <v>0</v>
      </c>
      <c r="Z67" s="350">
        <f t="shared" si="29"/>
        <v>0</v>
      </c>
      <c r="AA67" s="350">
        <f t="shared" si="32"/>
        <v>0</v>
      </c>
      <c r="AB67" s="350">
        <f t="shared" si="30"/>
        <v>0</v>
      </c>
    </row>
    <row r="68" s="313" customFormat="1" spans="1:28">
      <c r="A68" s="350" t="s">
        <v>34</v>
      </c>
      <c r="B68" s="350">
        <f t="shared" ref="B68:AA68" si="33">B7+B36</f>
        <v>298645091.53</v>
      </c>
      <c r="C68" s="350">
        <f t="shared" si="33"/>
        <v>-10878966.4235849</v>
      </c>
      <c r="D68" s="350">
        <f t="shared" si="33"/>
        <v>-115516.943396226</v>
      </c>
      <c r="E68" s="350">
        <f t="shared" si="33"/>
        <v>5514238.08471698</v>
      </c>
      <c r="F68" s="350">
        <f t="shared" si="33"/>
        <v>0</v>
      </c>
      <c r="G68" s="350">
        <f t="shared" si="33"/>
        <v>-115516.943396226</v>
      </c>
      <c r="H68" s="350">
        <f t="shared" si="33"/>
        <v>0</v>
      </c>
      <c r="I68" s="350">
        <f t="shared" si="33"/>
        <v>0</v>
      </c>
      <c r="J68" s="350">
        <f t="shared" si="33"/>
        <v>0</v>
      </c>
      <c r="K68" s="350">
        <f t="shared" si="33"/>
        <v>18867.92</v>
      </c>
      <c r="L68" s="367">
        <f t="shared" si="33"/>
        <v>0</v>
      </c>
      <c r="M68" s="367">
        <f t="shared" si="33"/>
        <v>18867.92</v>
      </c>
      <c r="N68" s="350">
        <f t="shared" si="33"/>
        <v>0</v>
      </c>
      <c r="O68" s="350">
        <f t="shared" si="33"/>
        <v>0</v>
      </c>
      <c r="P68" s="350">
        <f t="shared" si="33"/>
        <v>0</v>
      </c>
      <c r="Q68" s="350">
        <f t="shared" si="33"/>
        <v>0</v>
      </c>
      <c r="R68" s="350">
        <f t="shared" si="33"/>
        <v>0</v>
      </c>
      <c r="S68" s="350">
        <f t="shared" si="33"/>
        <v>304106468.892264</v>
      </c>
      <c r="T68" s="350">
        <f t="shared" si="33"/>
        <v>21310521.299434</v>
      </c>
      <c r="U68" s="350">
        <f t="shared" si="33"/>
        <v>248605834.31283</v>
      </c>
      <c r="V68" s="350">
        <f t="shared" si="33"/>
        <v>30109452.88</v>
      </c>
      <c r="W68" s="350">
        <f t="shared" si="29"/>
        <v>4080660.4</v>
      </c>
      <c r="X68" s="350">
        <f t="shared" si="29"/>
        <v>0</v>
      </c>
      <c r="Y68" s="350">
        <f t="shared" si="29"/>
        <v>0</v>
      </c>
      <c r="Z68" s="350">
        <f t="shared" si="29"/>
        <v>0</v>
      </c>
      <c r="AA68" s="350">
        <f t="shared" si="33"/>
        <v>0</v>
      </c>
      <c r="AB68" s="350">
        <f t="shared" si="30"/>
        <v>0</v>
      </c>
    </row>
    <row r="69" s="313" customFormat="1" spans="1:28">
      <c r="A69" s="350" t="s">
        <v>35</v>
      </c>
      <c r="B69" s="350">
        <f t="shared" ref="B69:AA69" si="34">B8+B37</f>
        <v>70244462.61</v>
      </c>
      <c r="C69" s="350">
        <f t="shared" si="34"/>
        <v>1575985.55</v>
      </c>
      <c r="D69" s="350">
        <f t="shared" si="34"/>
        <v>22985934.448717</v>
      </c>
      <c r="E69" s="350">
        <f t="shared" si="34"/>
        <v>3153505.75184906</v>
      </c>
      <c r="F69" s="350">
        <f t="shared" si="34"/>
        <v>44844303.119434</v>
      </c>
      <c r="G69" s="350">
        <f t="shared" si="34"/>
        <v>22985934.448717</v>
      </c>
      <c r="H69" s="350">
        <f t="shared" si="34"/>
        <v>30663415.789434</v>
      </c>
      <c r="I69" s="350">
        <f t="shared" si="34"/>
        <v>11767977.09</v>
      </c>
      <c r="J69" s="350">
        <f t="shared" si="34"/>
        <v>2412910.24</v>
      </c>
      <c r="K69" s="350">
        <f t="shared" si="34"/>
        <v>-4202058.72</v>
      </c>
      <c r="L69" s="367">
        <f t="shared" si="34"/>
        <v>-230700</v>
      </c>
      <c r="M69" s="367">
        <f t="shared" si="34"/>
        <v>-236700</v>
      </c>
      <c r="N69" s="350">
        <f t="shared" si="34"/>
        <v>2097841.28</v>
      </c>
      <c r="O69" s="350">
        <f t="shared" si="34"/>
        <v>-5121100</v>
      </c>
      <c r="P69" s="350">
        <f t="shared" si="34"/>
        <v>-566500</v>
      </c>
      <c r="Q69" s="350">
        <f t="shared" si="34"/>
        <v>-144900</v>
      </c>
      <c r="R69" s="350">
        <f t="shared" si="34"/>
        <v>0</v>
      </c>
      <c r="S69" s="350">
        <f t="shared" si="34"/>
        <v>1886792.46</v>
      </c>
      <c r="T69" s="350">
        <f t="shared" si="34"/>
        <v>0</v>
      </c>
      <c r="U69" s="350">
        <f t="shared" si="34"/>
        <v>1886792.46</v>
      </c>
      <c r="V69" s="350">
        <f t="shared" si="34"/>
        <v>0</v>
      </c>
      <c r="W69" s="371" t="s">
        <v>75</v>
      </c>
      <c r="X69" s="350">
        <f t="shared" si="29"/>
        <v>0</v>
      </c>
      <c r="Y69" s="350">
        <f t="shared" si="29"/>
        <v>0</v>
      </c>
      <c r="Z69" s="350">
        <f t="shared" si="29"/>
        <v>0</v>
      </c>
      <c r="AA69" s="350">
        <f t="shared" si="34"/>
        <v>0</v>
      </c>
      <c r="AB69" s="350">
        <f t="shared" si="30"/>
        <v>0</v>
      </c>
    </row>
    <row r="70" s="314" customFormat="1" spans="1:28">
      <c r="A70" s="41" t="s">
        <v>59</v>
      </c>
      <c r="B70" s="41">
        <f t="shared" ref="B70:AA70" si="35">B9+B38</f>
        <v>279140770.44</v>
      </c>
      <c r="C70" s="41">
        <f t="shared" si="35"/>
        <v>3825850.79</v>
      </c>
      <c r="D70" s="41">
        <f t="shared" si="35"/>
        <v>-297863453.092222</v>
      </c>
      <c r="E70" s="41">
        <f t="shared" si="35"/>
        <v>541540746.97</v>
      </c>
      <c r="F70" s="41">
        <f t="shared" si="35"/>
        <v>2405069.61</v>
      </c>
      <c r="G70" s="41">
        <f t="shared" si="35"/>
        <v>352351.96</v>
      </c>
      <c r="H70" s="41">
        <f t="shared" si="35"/>
        <v>74748.65</v>
      </c>
      <c r="I70" s="41">
        <f t="shared" si="35"/>
        <v>0</v>
      </c>
      <c r="J70" s="41">
        <f t="shared" si="35"/>
        <v>2330320.96</v>
      </c>
      <c r="K70" s="41">
        <f t="shared" si="35"/>
        <v>25948627.52</v>
      </c>
      <c r="L70" s="368">
        <f t="shared" si="35"/>
        <v>213825.61</v>
      </c>
      <c r="M70" s="368">
        <f t="shared" si="35"/>
        <v>-613282.24</v>
      </c>
      <c r="N70" s="41">
        <f t="shared" si="35"/>
        <v>0</v>
      </c>
      <c r="O70" s="41">
        <f t="shared" si="35"/>
        <v>25550387.02</v>
      </c>
      <c r="P70" s="41">
        <f t="shared" si="35"/>
        <v>0</v>
      </c>
      <c r="Q70" s="41">
        <f t="shared" si="35"/>
        <v>797697.13</v>
      </c>
      <c r="R70" s="41">
        <f t="shared" si="35"/>
        <v>12115.96</v>
      </c>
      <c r="S70" s="41">
        <f t="shared" si="35"/>
        <v>3283928.64222223</v>
      </c>
      <c r="T70" s="41">
        <f t="shared" si="35"/>
        <v>0</v>
      </c>
      <c r="U70" s="41">
        <f t="shared" si="35"/>
        <v>3123261.97555556</v>
      </c>
      <c r="V70" s="41">
        <f t="shared" si="35"/>
        <v>160666.666666667</v>
      </c>
      <c r="W70" s="41">
        <f t="shared" si="29"/>
        <v>0</v>
      </c>
      <c r="X70" s="41">
        <f t="shared" si="29"/>
        <v>0</v>
      </c>
      <c r="Y70" s="41">
        <f t="shared" si="29"/>
        <v>0</v>
      </c>
      <c r="Z70" s="41">
        <f t="shared" si="29"/>
        <v>0</v>
      </c>
      <c r="AA70" s="41">
        <f t="shared" si="35"/>
        <v>0</v>
      </c>
      <c r="AB70" s="41">
        <f t="shared" si="30"/>
        <v>0</v>
      </c>
    </row>
    <row r="71" s="314" customFormat="1" spans="1:28">
      <c r="A71" s="41" t="s">
        <v>37</v>
      </c>
      <c r="B71" s="41">
        <f t="shared" ref="B71:AA71" si="36">B10+B39</f>
        <v>89858109.0399999</v>
      </c>
      <c r="C71" s="41">
        <f t="shared" si="36"/>
        <v>-5565238.39</v>
      </c>
      <c r="D71" s="41">
        <f t="shared" si="36"/>
        <v>9170224.967</v>
      </c>
      <c r="E71" s="41">
        <f t="shared" si="36"/>
        <v>425281.76</v>
      </c>
      <c r="F71" s="41">
        <f t="shared" si="36"/>
        <v>-92368423.05</v>
      </c>
      <c r="G71" s="41">
        <f t="shared" si="36"/>
        <v>157225.87</v>
      </c>
      <c r="H71" s="41">
        <f t="shared" si="36"/>
        <v>-84624194.59</v>
      </c>
      <c r="I71" s="41">
        <f t="shared" si="36"/>
        <v>3262115.19</v>
      </c>
      <c r="J71" s="41">
        <f t="shared" si="36"/>
        <v>-11006343.65</v>
      </c>
      <c r="K71" s="41">
        <f t="shared" si="36"/>
        <v>178272614.153</v>
      </c>
      <c r="L71" s="368">
        <f t="shared" si="36"/>
        <v>64004857.95</v>
      </c>
      <c r="M71" s="368">
        <f t="shared" si="36"/>
        <v>71936245.893</v>
      </c>
      <c r="N71" s="41">
        <f t="shared" si="36"/>
        <v>1762767.88</v>
      </c>
      <c r="O71" s="41">
        <f t="shared" si="36"/>
        <v>32108475.91</v>
      </c>
      <c r="P71" s="41">
        <f t="shared" si="36"/>
        <v>12921636.72</v>
      </c>
      <c r="Q71" s="41">
        <f t="shared" si="36"/>
        <v>-4461370.2</v>
      </c>
      <c r="R71" s="41">
        <f t="shared" si="36"/>
        <v>0</v>
      </c>
      <c r="S71" s="41">
        <f t="shared" si="36"/>
        <v>-76350.4</v>
      </c>
      <c r="T71" s="41">
        <f t="shared" si="36"/>
        <v>-94002.15</v>
      </c>
      <c r="U71" s="41">
        <f t="shared" si="36"/>
        <v>0</v>
      </c>
      <c r="V71" s="41">
        <f t="shared" si="36"/>
        <v>0</v>
      </c>
      <c r="W71" s="41">
        <f t="shared" si="29"/>
        <v>17651.75</v>
      </c>
      <c r="X71" s="41">
        <f t="shared" si="29"/>
        <v>0</v>
      </c>
      <c r="Y71" s="41">
        <f t="shared" si="29"/>
        <v>0</v>
      </c>
      <c r="Z71" s="41">
        <f t="shared" si="29"/>
        <v>0</v>
      </c>
      <c r="AA71" s="41">
        <f t="shared" si="36"/>
        <v>0</v>
      </c>
      <c r="AB71" s="41">
        <f t="shared" si="30"/>
        <v>0</v>
      </c>
    </row>
    <row r="72" s="314" customFormat="1" ht="16.5" customHeight="1" spans="1:28">
      <c r="A72" s="41" t="s">
        <v>60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368"/>
      <c r="M72" s="368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s="314" customFormat="1" spans="1:28">
      <c r="A73" s="41" t="s">
        <v>39</v>
      </c>
      <c r="B73" s="41">
        <f t="shared" ref="B73:AA73" si="37">B12+B41</f>
        <v>-139999768.54</v>
      </c>
      <c r="C73" s="41">
        <f t="shared" si="37"/>
        <v>56363103.88</v>
      </c>
      <c r="D73" s="41">
        <f t="shared" si="37"/>
        <v>-168762.47</v>
      </c>
      <c r="E73" s="41">
        <f t="shared" si="37"/>
        <v>1772464.4</v>
      </c>
      <c r="F73" s="41">
        <f t="shared" si="37"/>
        <v>-209504826.85</v>
      </c>
      <c r="G73" s="41">
        <f t="shared" si="37"/>
        <v>-168762.47</v>
      </c>
      <c r="H73" s="41">
        <f t="shared" si="37"/>
        <v>-209009502.02</v>
      </c>
      <c r="I73" s="41">
        <f t="shared" si="37"/>
        <v>1132090.51</v>
      </c>
      <c r="J73" s="41">
        <f t="shared" si="37"/>
        <v>-1627415.34</v>
      </c>
      <c r="K73" s="41">
        <f t="shared" si="37"/>
        <v>12117020.97</v>
      </c>
      <c r="L73" s="368">
        <f t="shared" si="37"/>
        <v>-5238719.09</v>
      </c>
      <c r="M73" s="368">
        <f t="shared" si="37"/>
        <v>-36366093.97</v>
      </c>
      <c r="N73" s="41">
        <f t="shared" si="37"/>
        <v>-301201.19</v>
      </c>
      <c r="O73" s="41">
        <f t="shared" si="37"/>
        <v>31425305.73</v>
      </c>
      <c r="P73" s="41">
        <f t="shared" si="37"/>
        <v>15537665.23</v>
      </c>
      <c r="Q73" s="41">
        <f t="shared" si="37"/>
        <v>7060064.26</v>
      </c>
      <c r="R73" s="41">
        <f t="shared" si="37"/>
        <v>0</v>
      </c>
      <c r="S73" s="41">
        <f t="shared" si="37"/>
        <v>-578768.47</v>
      </c>
      <c r="T73" s="41">
        <f t="shared" si="37"/>
        <v>28793.28</v>
      </c>
      <c r="U73" s="41">
        <f t="shared" si="37"/>
        <v>0</v>
      </c>
      <c r="V73" s="41">
        <f t="shared" si="37"/>
        <v>0</v>
      </c>
      <c r="W73" s="41">
        <f t="shared" ref="W73:Z88" si="38">W12+W41</f>
        <v>-607561.75</v>
      </c>
      <c r="X73" s="41">
        <f t="shared" si="38"/>
        <v>0</v>
      </c>
      <c r="Y73" s="41">
        <f t="shared" si="38"/>
        <v>0</v>
      </c>
      <c r="Z73" s="41">
        <f t="shared" si="38"/>
        <v>0</v>
      </c>
      <c r="AA73" s="41">
        <f t="shared" si="37"/>
        <v>0</v>
      </c>
      <c r="AB73" s="41">
        <f t="shared" ref="AB73:AB88" si="39">AB12+AB41</f>
        <v>0</v>
      </c>
    </row>
    <row r="74" s="314" customFormat="1" spans="1:28">
      <c r="A74" s="41" t="s">
        <v>61</v>
      </c>
      <c r="B74" s="41">
        <f t="shared" ref="B74:AA74" si="40">B13+B42</f>
        <v>-888401.65</v>
      </c>
      <c r="C74" s="41">
        <f t="shared" si="40"/>
        <v>0</v>
      </c>
      <c r="D74" s="41">
        <f t="shared" si="40"/>
        <v>103302.24</v>
      </c>
      <c r="E74" s="41">
        <f t="shared" si="40"/>
        <v>-991703.89</v>
      </c>
      <c r="F74" s="41">
        <f t="shared" si="40"/>
        <v>0</v>
      </c>
      <c r="G74" s="41">
        <f t="shared" si="40"/>
        <v>0</v>
      </c>
      <c r="H74" s="41">
        <f t="shared" si="40"/>
        <v>0</v>
      </c>
      <c r="I74" s="41">
        <f t="shared" si="40"/>
        <v>0</v>
      </c>
      <c r="J74" s="41">
        <f t="shared" si="40"/>
        <v>0</v>
      </c>
      <c r="K74" s="41">
        <f t="shared" si="40"/>
        <v>0</v>
      </c>
      <c r="L74" s="41">
        <f t="shared" si="40"/>
        <v>0</v>
      </c>
      <c r="M74" s="41">
        <f t="shared" si="40"/>
        <v>0</v>
      </c>
      <c r="N74" s="41">
        <f t="shared" si="40"/>
        <v>0</v>
      </c>
      <c r="O74" s="41">
        <f t="shared" si="40"/>
        <v>0</v>
      </c>
      <c r="P74" s="41">
        <f t="shared" si="40"/>
        <v>0</v>
      </c>
      <c r="Q74" s="41">
        <f t="shared" si="40"/>
        <v>0</v>
      </c>
      <c r="R74" s="41">
        <f t="shared" si="40"/>
        <v>0</v>
      </c>
      <c r="S74" s="41">
        <f t="shared" si="40"/>
        <v>0</v>
      </c>
      <c r="T74" s="41">
        <f t="shared" si="40"/>
        <v>0</v>
      </c>
      <c r="U74" s="41">
        <f t="shared" si="40"/>
        <v>0</v>
      </c>
      <c r="V74" s="41">
        <f t="shared" si="40"/>
        <v>0</v>
      </c>
      <c r="W74" s="41">
        <f t="shared" si="38"/>
        <v>0</v>
      </c>
      <c r="X74" s="41">
        <f t="shared" si="38"/>
        <v>0</v>
      </c>
      <c r="Y74" s="41">
        <f t="shared" si="38"/>
        <v>0</v>
      </c>
      <c r="Z74" s="41">
        <f t="shared" si="38"/>
        <v>0</v>
      </c>
      <c r="AA74" s="41">
        <f t="shared" si="40"/>
        <v>0</v>
      </c>
      <c r="AB74" s="41">
        <f t="shared" si="39"/>
        <v>0</v>
      </c>
    </row>
    <row r="75" s="314" customFormat="1" spans="1:28">
      <c r="A75" s="41" t="s">
        <v>62</v>
      </c>
      <c r="B75" s="41">
        <f t="shared" ref="B75:AA75" si="41">B14+B43</f>
        <v>7819900.6</v>
      </c>
      <c r="C75" s="41">
        <f t="shared" si="41"/>
        <v>-3800636.1</v>
      </c>
      <c r="D75" s="41">
        <f t="shared" si="41"/>
        <v>181.13</v>
      </c>
      <c r="E75" s="41">
        <f t="shared" si="41"/>
        <v>11620355.57</v>
      </c>
      <c r="F75" s="41">
        <f t="shared" si="41"/>
        <v>0</v>
      </c>
      <c r="G75" s="41">
        <f t="shared" si="41"/>
        <v>0</v>
      </c>
      <c r="H75" s="41">
        <f t="shared" si="41"/>
        <v>0</v>
      </c>
      <c r="I75" s="41">
        <f t="shared" si="41"/>
        <v>0</v>
      </c>
      <c r="J75" s="41">
        <f t="shared" si="41"/>
        <v>0</v>
      </c>
      <c r="K75" s="41">
        <f t="shared" si="41"/>
        <v>0</v>
      </c>
      <c r="L75" s="41">
        <f t="shared" si="41"/>
        <v>0</v>
      </c>
      <c r="M75" s="41">
        <f t="shared" si="41"/>
        <v>0</v>
      </c>
      <c r="N75" s="41">
        <f t="shared" si="41"/>
        <v>0</v>
      </c>
      <c r="O75" s="41">
        <f t="shared" si="41"/>
        <v>0</v>
      </c>
      <c r="P75" s="41">
        <f t="shared" si="41"/>
        <v>0</v>
      </c>
      <c r="Q75" s="41">
        <f t="shared" si="41"/>
        <v>0</v>
      </c>
      <c r="R75" s="41">
        <f t="shared" si="41"/>
        <v>0</v>
      </c>
      <c r="S75" s="41">
        <f t="shared" si="41"/>
        <v>0</v>
      </c>
      <c r="T75" s="41">
        <f t="shared" si="41"/>
        <v>0</v>
      </c>
      <c r="U75" s="41">
        <f t="shared" si="41"/>
        <v>0</v>
      </c>
      <c r="V75" s="41">
        <f t="shared" si="41"/>
        <v>0</v>
      </c>
      <c r="W75" s="41">
        <f t="shared" si="38"/>
        <v>0</v>
      </c>
      <c r="X75" s="41">
        <f t="shared" si="38"/>
        <v>0</v>
      </c>
      <c r="Y75" s="41">
        <f t="shared" si="38"/>
        <v>0</v>
      </c>
      <c r="Z75" s="41">
        <f t="shared" si="38"/>
        <v>0</v>
      </c>
      <c r="AA75" s="41">
        <f t="shared" si="41"/>
        <v>0</v>
      </c>
      <c r="AB75" s="41">
        <f t="shared" si="39"/>
        <v>181.13</v>
      </c>
    </row>
    <row r="76" s="313" customFormat="1" spans="1:28">
      <c r="A76" s="44" t="s">
        <v>42</v>
      </c>
      <c r="B76" s="45">
        <f t="shared" ref="B76:AA76" si="42">B15+B44</f>
        <v>749645691.4</v>
      </c>
      <c r="C76" s="45">
        <f t="shared" si="42"/>
        <v>13670655.4590505</v>
      </c>
      <c r="D76" s="45">
        <f t="shared" si="42"/>
        <v>178612547.261378</v>
      </c>
      <c r="E76" s="45">
        <f t="shared" si="42"/>
        <v>380113433.867924</v>
      </c>
      <c r="F76" s="45">
        <f t="shared" si="42"/>
        <v>16946863.43</v>
      </c>
      <c r="G76" s="45">
        <f t="shared" si="42"/>
        <v>6656525.06</v>
      </c>
      <c r="H76" s="45">
        <f t="shared" si="42"/>
        <v>4486287.73</v>
      </c>
      <c r="I76" s="45">
        <f t="shared" si="42"/>
        <v>5419284.15</v>
      </c>
      <c r="J76" s="45">
        <f t="shared" si="42"/>
        <v>7041291.55</v>
      </c>
      <c r="K76" s="45">
        <f t="shared" si="42"/>
        <v>29967144.0516463</v>
      </c>
      <c r="L76" s="45">
        <f t="shared" si="42"/>
        <v>5285424.19287157</v>
      </c>
      <c r="M76" s="45">
        <f t="shared" si="42"/>
        <v>5234630.89518798</v>
      </c>
      <c r="N76" s="45">
        <f t="shared" si="42"/>
        <v>2370209.85865801</v>
      </c>
      <c r="O76" s="45">
        <f t="shared" si="42"/>
        <v>8108272.9528861</v>
      </c>
      <c r="P76" s="45">
        <f t="shared" si="42"/>
        <v>4399057.32972912</v>
      </c>
      <c r="Q76" s="45">
        <f t="shared" si="42"/>
        <v>4569548.82231348</v>
      </c>
      <c r="R76" s="45">
        <f t="shared" si="42"/>
        <v>9327729.16</v>
      </c>
      <c r="S76" s="45">
        <f t="shared" si="42"/>
        <v>130335047.330001</v>
      </c>
      <c r="T76" s="45">
        <f t="shared" si="42"/>
        <v>11850658.5055872</v>
      </c>
      <c r="U76" s="45">
        <f t="shared" si="42"/>
        <v>87165959.3673624</v>
      </c>
      <c r="V76" s="45">
        <f t="shared" si="42"/>
        <v>23177921.1689445</v>
      </c>
      <c r="W76" s="45">
        <f t="shared" si="38"/>
        <v>3624093.70810689</v>
      </c>
      <c r="X76" s="45">
        <f t="shared" si="38"/>
        <v>2846825.68</v>
      </c>
      <c r="Y76" s="45">
        <f t="shared" si="38"/>
        <v>675977.7</v>
      </c>
      <c r="Z76" s="45">
        <f t="shared" si="38"/>
        <v>993611.2</v>
      </c>
      <c r="AA76" s="45">
        <f t="shared" si="42"/>
        <v>7519216.97</v>
      </c>
      <c r="AB76" s="45">
        <f t="shared" si="39"/>
        <v>8377969.07</v>
      </c>
    </row>
    <row r="77" s="313" customFormat="1" spans="1:28">
      <c r="A77" s="42" t="s">
        <v>63</v>
      </c>
      <c r="B77" s="42">
        <f t="shared" ref="B77:AA77" si="43">B16+B45</f>
        <v>10214817.1</v>
      </c>
      <c r="C77" s="42">
        <f t="shared" si="43"/>
        <v>-107051.18</v>
      </c>
      <c r="D77" s="42">
        <f t="shared" si="43"/>
        <v>-1250515.32</v>
      </c>
      <c r="E77" s="42">
        <f t="shared" si="43"/>
        <v>6588031.82</v>
      </c>
      <c r="F77" s="42">
        <f t="shared" si="43"/>
        <v>232089.5</v>
      </c>
      <c r="G77" s="42">
        <f t="shared" si="43"/>
        <v>177235</v>
      </c>
      <c r="H77" s="42">
        <f t="shared" si="43"/>
        <v>220103.31</v>
      </c>
      <c r="I77" s="42">
        <f t="shared" si="43"/>
        <v>84642.27</v>
      </c>
      <c r="J77" s="42">
        <f t="shared" si="43"/>
        <v>-72656.08</v>
      </c>
      <c r="K77" s="42">
        <f t="shared" si="43"/>
        <v>2562532.94</v>
      </c>
      <c r="L77" s="42">
        <f t="shared" si="43"/>
        <v>1709544.55</v>
      </c>
      <c r="M77" s="42">
        <f t="shared" si="43"/>
        <v>648384.02</v>
      </c>
      <c r="N77" s="42">
        <f t="shared" si="43"/>
        <v>39059.72</v>
      </c>
      <c r="O77" s="42">
        <f t="shared" si="43"/>
        <v>130838.08</v>
      </c>
      <c r="P77" s="42">
        <f t="shared" si="43"/>
        <v>68757.14</v>
      </c>
      <c r="Q77" s="42">
        <f t="shared" si="43"/>
        <v>-34050.57</v>
      </c>
      <c r="R77" s="42">
        <f t="shared" si="43"/>
        <v>-33159.47</v>
      </c>
      <c r="S77" s="42">
        <f t="shared" si="43"/>
        <v>2189729.34</v>
      </c>
      <c r="T77" s="42">
        <f t="shared" si="43"/>
        <v>152079.79</v>
      </c>
      <c r="U77" s="42">
        <f t="shared" si="43"/>
        <v>1794571.78</v>
      </c>
      <c r="V77" s="42">
        <f t="shared" si="43"/>
        <v>214380.95</v>
      </c>
      <c r="W77" s="42">
        <f t="shared" si="38"/>
        <v>29388.92</v>
      </c>
      <c r="X77" s="42">
        <f t="shared" si="38"/>
        <v>-580.69</v>
      </c>
      <c r="Y77" s="42">
        <f t="shared" si="38"/>
        <v>-111.41</v>
      </c>
      <c r="Z77" s="42">
        <f t="shared" si="38"/>
        <v>0</v>
      </c>
      <c r="AA77" s="42">
        <f t="shared" si="43"/>
        <v>-7600.37</v>
      </c>
      <c r="AB77" s="42">
        <f t="shared" si="39"/>
        <v>-1768.32</v>
      </c>
    </row>
    <row r="78" s="313" customFormat="1" spans="1:28">
      <c r="A78" s="42" t="s">
        <v>64</v>
      </c>
      <c r="B78" s="42">
        <f t="shared" ref="B78:AA78" si="44">B17+B46</f>
        <v>729418188.97</v>
      </c>
      <c r="C78" s="42">
        <f t="shared" si="44"/>
        <v>13777706.6390505</v>
      </c>
      <c r="D78" s="42">
        <f t="shared" si="44"/>
        <v>178025539.251378</v>
      </c>
      <c r="E78" s="42">
        <f t="shared" si="44"/>
        <v>365350240.047925</v>
      </c>
      <c r="F78" s="42">
        <f t="shared" si="44"/>
        <v>16714773.93</v>
      </c>
      <c r="G78" s="42">
        <f t="shared" si="44"/>
        <v>6479290.06</v>
      </c>
      <c r="H78" s="42">
        <f t="shared" si="44"/>
        <v>4266184.42</v>
      </c>
      <c r="I78" s="42">
        <f t="shared" si="44"/>
        <v>5334641.88</v>
      </c>
      <c r="J78" s="42">
        <f t="shared" si="44"/>
        <v>7113947.63</v>
      </c>
      <c r="K78" s="42">
        <f t="shared" si="44"/>
        <v>27404611.1116463</v>
      </c>
      <c r="L78" s="42">
        <f t="shared" si="44"/>
        <v>3575879.64287157</v>
      </c>
      <c r="M78" s="42">
        <f t="shared" si="44"/>
        <v>4586246.87518798</v>
      </c>
      <c r="N78" s="42">
        <f t="shared" si="44"/>
        <v>2331150.13865801</v>
      </c>
      <c r="O78" s="42">
        <f t="shared" si="44"/>
        <v>7977434.8728861</v>
      </c>
      <c r="P78" s="42">
        <f t="shared" si="44"/>
        <v>4330300.18972912</v>
      </c>
      <c r="Q78" s="42">
        <f t="shared" si="44"/>
        <v>4603599.39231348</v>
      </c>
      <c r="R78" s="42">
        <f t="shared" si="44"/>
        <v>9360888.63</v>
      </c>
      <c r="S78" s="42">
        <f t="shared" si="44"/>
        <v>128145317.990001</v>
      </c>
      <c r="T78" s="42">
        <f t="shared" si="44"/>
        <v>11698578.7155872</v>
      </c>
      <c r="U78" s="42">
        <f t="shared" si="44"/>
        <v>85371387.5873624</v>
      </c>
      <c r="V78" s="42">
        <f t="shared" si="44"/>
        <v>22963540.2189445</v>
      </c>
      <c r="W78" s="42">
        <f t="shared" si="38"/>
        <v>3594704.78810689</v>
      </c>
      <c r="X78" s="42">
        <f t="shared" si="38"/>
        <v>2847406.37</v>
      </c>
      <c r="Y78" s="42">
        <f t="shared" si="38"/>
        <v>676089.11</v>
      </c>
      <c r="Z78" s="42">
        <f t="shared" si="38"/>
        <v>993611.2</v>
      </c>
      <c r="AA78" s="42">
        <f t="shared" si="44"/>
        <v>7526817.34</v>
      </c>
      <c r="AB78" s="42">
        <f t="shared" si="39"/>
        <v>8379737.39</v>
      </c>
    </row>
    <row r="79" s="313" customFormat="1" spans="1:28">
      <c r="A79" s="42" t="s">
        <v>65</v>
      </c>
      <c r="B79" s="42">
        <f t="shared" ref="B79:AA79" si="45">B18+B47</f>
        <v>5748754.72</v>
      </c>
      <c r="C79" s="42">
        <f t="shared" si="45"/>
        <v>0</v>
      </c>
      <c r="D79" s="42">
        <f t="shared" si="45"/>
        <v>1837523.33</v>
      </c>
      <c r="E79" s="42">
        <f t="shared" si="45"/>
        <v>3911231.39</v>
      </c>
      <c r="F79" s="42">
        <f t="shared" si="45"/>
        <v>0</v>
      </c>
      <c r="G79" s="42">
        <f t="shared" si="45"/>
        <v>0</v>
      </c>
      <c r="H79" s="42">
        <f t="shared" si="45"/>
        <v>0</v>
      </c>
      <c r="I79" s="42">
        <f t="shared" si="45"/>
        <v>0</v>
      </c>
      <c r="J79" s="42">
        <f t="shared" si="45"/>
        <v>0</v>
      </c>
      <c r="K79" s="42">
        <f t="shared" si="45"/>
        <v>0</v>
      </c>
      <c r="L79" s="42">
        <f t="shared" si="45"/>
        <v>0</v>
      </c>
      <c r="M79" s="42">
        <f t="shared" si="45"/>
        <v>0</v>
      </c>
      <c r="N79" s="42">
        <f t="shared" si="45"/>
        <v>0</v>
      </c>
      <c r="O79" s="42">
        <f t="shared" si="45"/>
        <v>0</v>
      </c>
      <c r="P79" s="42">
        <f t="shared" si="45"/>
        <v>0</v>
      </c>
      <c r="Q79" s="42">
        <f t="shared" si="45"/>
        <v>0</v>
      </c>
      <c r="R79" s="42">
        <f t="shared" si="45"/>
        <v>0</v>
      </c>
      <c r="S79" s="42">
        <f t="shared" si="45"/>
        <v>0</v>
      </c>
      <c r="T79" s="42">
        <f t="shared" si="45"/>
        <v>0</v>
      </c>
      <c r="U79" s="42">
        <f t="shared" si="45"/>
        <v>0</v>
      </c>
      <c r="V79" s="42">
        <f t="shared" si="45"/>
        <v>0</v>
      </c>
      <c r="W79" s="42">
        <f t="shared" si="38"/>
        <v>0</v>
      </c>
      <c r="X79" s="42">
        <f t="shared" si="38"/>
        <v>0</v>
      </c>
      <c r="Y79" s="42">
        <f t="shared" si="38"/>
        <v>0</v>
      </c>
      <c r="Z79" s="42">
        <f t="shared" si="38"/>
        <v>0</v>
      </c>
      <c r="AA79" s="42">
        <f t="shared" si="45"/>
        <v>0</v>
      </c>
      <c r="AB79" s="42">
        <f t="shared" si="39"/>
        <v>0</v>
      </c>
    </row>
    <row r="80" s="313" customFormat="1" spans="1:28">
      <c r="A80" s="42" t="s">
        <v>66</v>
      </c>
      <c r="B80" s="42">
        <f t="shared" ref="B80:AA80" si="46">B19+B48</f>
        <v>4263930.61</v>
      </c>
      <c r="C80" s="42">
        <f t="shared" si="46"/>
        <v>0</v>
      </c>
      <c r="D80" s="42">
        <f t="shared" si="46"/>
        <v>0</v>
      </c>
      <c r="E80" s="42">
        <f t="shared" si="46"/>
        <v>4263930.61</v>
      </c>
      <c r="F80" s="42">
        <f t="shared" si="46"/>
        <v>0</v>
      </c>
      <c r="G80" s="42">
        <f t="shared" si="46"/>
        <v>0</v>
      </c>
      <c r="H80" s="42">
        <f t="shared" si="46"/>
        <v>0</v>
      </c>
      <c r="I80" s="42">
        <f t="shared" si="46"/>
        <v>0</v>
      </c>
      <c r="J80" s="42">
        <f t="shared" si="46"/>
        <v>0</v>
      </c>
      <c r="K80" s="42">
        <f t="shared" si="46"/>
        <v>0</v>
      </c>
      <c r="L80" s="42">
        <f t="shared" si="46"/>
        <v>0</v>
      </c>
      <c r="M80" s="42">
        <f t="shared" si="46"/>
        <v>0</v>
      </c>
      <c r="N80" s="42">
        <f t="shared" si="46"/>
        <v>0</v>
      </c>
      <c r="O80" s="42">
        <f t="shared" si="46"/>
        <v>0</v>
      </c>
      <c r="P80" s="42">
        <f t="shared" si="46"/>
        <v>0</v>
      </c>
      <c r="Q80" s="42">
        <f t="shared" si="46"/>
        <v>0</v>
      </c>
      <c r="R80" s="42">
        <f t="shared" si="46"/>
        <v>0</v>
      </c>
      <c r="S80" s="42">
        <f t="shared" si="46"/>
        <v>0</v>
      </c>
      <c r="T80" s="42">
        <f t="shared" si="46"/>
        <v>0</v>
      </c>
      <c r="U80" s="42">
        <f t="shared" si="46"/>
        <v>0</v>
      </c>
      <c r="V80" s="42">
        <f t="shared" si="46"/>
        <v>0</v>
      </c>
      <c r="W80" s="42">
        <f t="shared" si="38"/>
        <v>0</v>
      </c>
      <c r="X80" s="42">
        <f t="shared" si="38"/>
        <v>0</v>
      </c>
      <c r="Y80" s="42">
        <f t="shared" si="38"/>
        <v>0</v>
      </c>
      <c r="Z80" s="42">
        <f t="shared" si="38"/>
        <v>0</v>
      </c>
      <c r="AA80" s="42">
        <f t="shared" si="46"/>
        <v>0</v>
      </c>
      <c r="AB80" s="42">
        <f t="shared" si="39"/>
        <v>0</v>
      </c>
    </row>
    <row r="81" s="313" customFormat="1" spans="1:28">
      <c r="A81" s="44" t="s">
        <v>47</v>
      </c>
      <c r="B81" s="45">
        <f t="shared" ref="B81:AA81" si="47">B20+B49</f>
        <v>293954060.22</v>
      </c>
      <c r="C81" s="45">
        <f t="shared" si="47"/>
        <v>27849393.8473646</v>
      </c>
      <c r="D81" s="45">
        <f t="shared" si="47"/>
        <v>-445057340.391279</v>
      </c>
      <c r="E81" s="45">
        <f t="shared" si="47"/>
        <v>618373971.028642</v>
      </c>
      <c r="F81" s="45">
        <f t="shared" si="47"/>
        <v>-271039871.850566</v>
      </c>
      <c r="G81" s="45">
        <f t="shared" si="47"/>
        <v>16961081.2353208</v>
      </c>
      <c r="H81" s="45">
        <f t="shared" si="47"/>
        <v>-267381819.900566</v>
      </c>
      <c r="I81" s="45">
        <f t="shared" si="47"/>
        <v>10742898.64</v>
      </c>
      <c r="J81" s="45">
        <f t="shared" si="47"/>
        <v>-14400950.59</v>
      </c>
      <c r="K81" s="45">
        <f t="shared" si="47"/>
        <v>185540883.791354</v>
      </c>
      <c r="L81" s="45">
        <f t="shared" si="47"/>
        <v>51371488.1171284</v>
      </c>
      <c r="M81" s="45">
        <f t="shared" si="47"/>
        <v>32776681.117812</v>
      </c>
      <c r="N81" s="45">
        <f t="shared" si="47"/>
        <v>3204779.29134199</v>
      </c>
      <c r="O81" s="45">
        <f t="shared" si="47"/>
        <v>76031466.2171139</v>
      </c>
      <c r="P81" s="45">
        <f t="shared" si="47"/>
        <v>23493744.6202709</v>
      </c>
      <c r="Q81" s="45">
        <f t="shared" si="47"/>
        <v>-1337275.57231348</v>
      </c>
      <c r="R81" s="45">
        <f t="shared" si="47"/>
        <v>-9318335.2</v>
      </c>
      <c r="S81" s="45">
        <f t="shared" si="47"/>
        <v>178287023.794485</v>
      </c>
      <c r="T81" s="45">
        <f t="shared" si="47"/>
        <v>9394653.92384675</v>
      </c>
      <c r="U81" s="45">
        <f t="shared" si="47"/>
        <v>166449929.381023</v>
      </c>
      <c r="V81" s="45">
        <f t="shared" si="47"/>
        <v>7092198.37772213</v>
      </c>
      <c r="W81" s="45">
        <f t="shared" si="38"/>
        <v>-133343.308106887</v>
      </c>
      <c r="X81" s="45">
        <f t="shared" si="38"/>
        <v>-2846825.68</v>
      </c>
      <c r="Y81" s="45">
        <f t="shared" si="38"/>
        <v>-675977.7</v>
      </c>
      <c r="Z81" s="45">
        <f t="shared" si="38"/>
        <v>-993611.2</v>
      </c>
      <c r="AA81" s="45">
        <f t="shared" si="47"/>
        <v>-7519216.97</v>
      </c>
      <c r="AB81" s="45">
        <f t="shared" si="39"/>
        <v>-8377787.94</v>
      </c>
    </row>
    <row r="82" s="313" customFormat="1" spans="1:28">
      <c r="A82" s="42" t="s">
        <v>67</v>
      </c>
      <c r="B82" s="42">
        <f t="shared" ref="B82:AA82" si="48">B21+B50</f>
        <v>5514986.33</v>
      </c>
      <c r="C82" s="42">
        <f t="shared" si="48"/>
        <v>666421.88</v>
      </c>
      <c r="D82" s="42">
        <f t="shared" si="48"/>
        <v>4155163.79</v>
      </c>
      <c r="E82" s="42">
        <f t="shared" si="48"/>
        <v>693400.66</v>
      </c>
      <c r="F82" s="42">
        <f t="shared" si="48"/>
        <v>0</v>
      </c>
      <c r="G82" s="42">
        <f t="shared" si="48"/>
        <v>10290.96</v>
      </c>
      <c r="H82" s="42">
        <f t="shared" si="48"/>
        <v>0</v>
      </c>
      <c r="I82" s="42">
        <f t="shared" si="48"/>
        <v>0</v>
      </c>
      <c r="J82" s="42">
        <f t="shared" si="48"/>
        <v>0</v>
      </c>
      <c r="K82" s="42">
        <f t="shared" si="48"/>
        <v>0</v>
      </c>
      <c r="L82" s="42">
        <f t="shared" si="48"/>
        <v>0</v>
      </c>
      <c r="M82" s="42">
        <f t="shared" si="48"/>
        <v>0</v>
      </c>
      <c r="N82" s="42">
        <f t="shared" si="48"/>
        <v>0</v>
      </c>
      <c r="O82" s="42">
        <f t="shared" si="48"/>
        <v>0</v>
      </c>
      <c r="P82" s="42">
        <f t="shared" si="48"/>
        <v>0</v>
      </c>
      <c r="Q82" s="42">
        <f t="shared" si="48"/>
        <v>0</v>
      </c>
      <c r="R82" s="42">
        <f t="shared" si="48"/>
        <v>2145.93</v>
      </c>
      <c r="S82" s="42">
        <f t="shared" si="48"/>
        <v>0</v>
      </c>
      <c r="T82" s="42">
        <f t="shared" si="48"/>
        <v>0</v>
      </c>
      <c r="U82" s="42">
        <f t="shared" si="48"/>
        <v>0</v>
      </c>
      <c r="V82" s="42">
        <f t="shared" si="48"/>
        <v>0</v>
      </c>
      <c r="W82" s="42">
        <f t="shared" si="38"/>
        <v>0</v>
      </c>
      <c r="X82" s="42">
        <f t="shared" si="38"/>
        <v>0</v>
      </c>
      <c r="Y82" s="42">
        <f t="shared" si="38"/>
        <v>0</v>
      </c>
      <c r="Z82" s="42">
        <f t="shared" si="38"/>
        <v>0</v>
      </c>
      <c r="AA82" s="42">
        <f t="shared" si="48"/>
        <v>0</v>
      </c>
      <c r="AB82" s="42">
        <f t="shared" si="39"/>
        <v>0</v>
      </c>
    </row>
    <row r="83" s="313" customFormat="1" spans="1:28">
      <c r="A83" s="42" t="s">
        <v>68</v>
      </c>
      <c r="B83" s="42">
        <f t="shared" ref="B83:AA83" si="49">B22+B51</f>
        <v>10074373.77</v>
      </c>
      <c r="C83" s="42">
        <f t="shared" si="49"/>
        <v>0</v>
      </c>
      <c r="D83" s="42">
        <f t="shared" si="49"/>
        <v>8765051.97</v>
      </c>
      <c r="E83" s="42">
        <f t="shared" si="49"/>
        <v>1278484.3</v>
      </c>
      <c r="F83" s="42">
        <f t="shared" si="49"/>
        <v>8337.5</v>
      </c>
      <c r="G83" s="42">
        <f t="shared" si="49"/>
        <v>0</v>
      </c>
      <c r="H83" s="42">
        <f t="shared" si="49"/>
        <v>0</v>
      </c>
      <c r="I83" s="42">
        <f t="shared" si="49"/>
        <v>7500</v>
      </c>
      <c r="J83" s="42">
        <f t="shared" si="49"/>
        <v>837.5</v>
      </c>
      <c r="K83" s="42">
        <f t="shared" si="49"/>
        <v>22500</v>
      </c>
      <c r="L83" s="42">
        <f t="shared" si="49"/>
        <v>7500</v>
      </c>
      <c r="M83" s="42">
        <f t="shared" si="49"/>
        <v>7500</v>
      </c>
      <c r="N83" s="42">
        <f t="shared" si="49"/>
        <v>7500</v>
      </c>
      <c r="O83" s="42">
        <f t="shared" si="49"/>
        <v>0</v>
      </c>
      <c r="P83" s="42">
        <f t="shared" si="49"/>
        <v>0</v>
      </c>
      <c r="Q83" s="42">
        <f t="shared" si="49"/>
        <v>0</v>
      </c>
      <c r="R83" s="42">
        <f t="shared" si="49"/>
        <v>2822.67</v>
      </c>
      <c r="S83" s="42">
        <f t="shared" si="49"/>
        <v>0</v>
      </c>
      <c r="T83" s="42">
        <f t="shared" si="49"/>
        <v>0</v>
      </c>
      <c r="U83" s="42">
        <f t="shared" si="49"/>
        <v>0</v>
      </c>
      <c r="V83" s="42">
        <f t="shared" si="49"/>
        <v>0</v>
      </c>
      <c r="W83" s="42">
        <f t="shared" si="38"/>
        <v>0</v>
      </c>
      <c r="X83" s="42">
        <f t="shared" si="38"/>
        <v>0</v>
      </c>
      <c r="Y83" s="42">
        <f t="shared" si="38"/>
        <v>0</v>
      </c>
      <c r="Z83" s="42">
        <f t="shared" si="38"/>
        <v>0</v>
      </c>
      <c r="AA83" s="42">
        <f t="shared" si="49"/>
        <v>0</v>
      </c>
      <c r="AB83" s="42">
        <f t="shared" si="39"/>
        <v>0</v>
      </c>
    </row>
    <row r="84" s="313" customFormat="1" spans="1:28">
      <c r="A84" s="44" t="s">
        <v>50</v>
      </c>
      <c r="B84" s="45">
        <f t="shared" ref="B84:AA84" si="50">B23+B52</f>
        <v>289394672.78</v>
      </c>
      <c r="C84" s="45">
        <f t="shared" si="50"/>
        <v>28515815.7273646</v>
      </c>
      <c r="D84" s="45">
        <f t="shared" si="50"/>
        <v>-449667228.571279</v>
      </c>
      <c r="E84" s="45">
        <f t="shared" si="50"/>
        <v>617788887.388641</v>
      </c>
      <c r="F84" s="45">
        <f t="shared" si="50"/>
        <v>-271048209.350566</v>
      </c>
      <c r="G84" s="45">
        <f t="shared" si="50"/>
        <v>16971372.1953208</v>
      </c>
      <c r="H84" s="45">
        <f t="shared" si="50"/>
        <v>-267381819.900566</v>
      </c>
      <c r="I84" s="45">
        <f t="shared" si="50"/>
        <v>10735398.64</v>
      </c>
      <c r="J84" s="45">
        <f t="shared" si="50"/>
        <v>-14401788.09</v>
      </c>
      <c r="K84" s="45">
        <f t="shared" si="50"/>
        <v>185518383.791354</v>
      </c>
      <c r="L84" s="45">
        <f t="shared" si="50"/>
        <v>51363988.1171284</v>
      </c>
      <c r="M84" s="45">
        <f t="shared" si="50"/>
        <v>32769181.117812</v>
      </c>
      <c r="N84" s="45">
        <f t="shared" si="50"/>
        <v>3197279.29134199</v>
      </c>
      <c r="O84" s="45">
        <f t="shared" si="50"/>
        <v>76031466.2171139</v>
      </c>
      <c r="P84" s="45">
        <f t="shared" si="50"/>
        <v>23493744.6202709</v>
      </c>
      <c r="Q84" s="45">
        <f t="shared" si="50"/>
        <v>-1337275.57231348</v>
      </c>
      <c r="R84" s="45">
        <f t="shared" si="50"/>
        <v>-9319011.94</v>
      </c>
      <c r="S84" s="45">
        <f t="shared" si="50"/>
        <v>178287023.794485</v>
      </c>
      <c r="T84" s="45">
        <f t="shared" si="50"/>
        <v>9394653.92384675</v>
      </c>
      <c r="U84" s="45">
        <f t="shared" si="50"/>
        <v>166449929.381023</v>
      </c>
      <c r="V84" s="45">
        <f t="shared" si="50"/>
        <v>7092198.37772213</v>
      </c>
      <c r="W84" s="45">
        <f t="shared" si="38"/>
        <v>-133343.308106887</v>
      </c>
      <c r="X84" s="45">
        <f t="shared" si="38"/>
        <v>-2846825.68</v>
      </c>
      <c r="Y84" s="45">
        <f t="shared" si="38"/>
        <v>-675977.7</v>
      </c>
      <c r="Z84" s="45">
        <f t="shared" si="38"/>
        <v>-993611.2</v>
      </c>
      <c r="AA84" s="45">
        <f t="shared" si="50"/>
        <v>-7519216.97</v>
      </c>
      <c r="AB84" s="45">
        <f t="shared" si="39"/>
        <v>-8377787.94</v>
      </c>
    </row>
    <row r="85" s="313" customFormat="1" spans="1:28">
      <c r="A85" s="42" t="s">
        <v>69</v>
      </c>
      <c r="B85" s="42">
        <f t="shared" ref="B85:AA85" si="51">B24+B53</f>
        <v>55974175.745</v>
      </c>
      <c r="C85" s="42">
        <f t="shared" si="51"/>
        <v>-50985404.825</v>
      </c>
      <c r="D85" s="42">
        <f t="shared" si="51"/>
        <v>106958786.67</v>
      </c>
      <c r="E85" s="42">
        <f t="shared" si="51"/>
        <v>793.9</v>
      </c>
      <c r="F85" s="42">
        <f t="shared" si="51"/>
        <v>0</v>
      </c>
      <c r="G85" s="42">
        <f t="shared" si="51"/>
        <v>0</v>
      </c>
      <c r="H85" s="42">
        <f t="shared" si="51"/>
        <v>0</v>
      </c>
      <c r="I85" s="42">
        <f t="shared" si="51"/>
        <v>0</v>
      </c>
      <c r="J85" s="42">
        <f t="shared" si="51"/>
        <v>0</v>
      </c>
      <c r="K85" s="42">
        <f t="shared" si="51"/>
        <v>0</v>
      </c>
      <c r="L85" s="42">
        <f t="shared" si="51"/>
        <v>0</v>
      </c>
      <c r="M85" s="42">
        <f t="shared" si="51"/>
        <v>0</v>
      </c>
      <c r="N85" s="42">
        <f t="shared" si="51"/>
        <v>0</v>
      </c>
      <c r="O85" s="42">
        <f t="shared" si="51"/>
        <v>0</v>
      </c>
      <c r="P85" s="42">
        <f t="shared" si="51"/>
        <v>0</v>
      </c>
      <c r="Q85" s="42">
        <f t="shared" si="51"/>
        <v>0</v>
      </c>
      <c r="R85" s="42">
        <f t="shared" si="51"/>
        <v>0</v>
      </c>
      <c r="S85" s="42">
        <f t="shared" si="51"/>
        <v>0</v>
      </c>
      <c r="T85" s="42">
        <f t="shared" si="51"/>
        <v>0</v>
      </c>
      <c r="U85" s="42">
        <f t="shared" si="51"/>
        <v>0</v>
      </c>
      <c r="V85" s="42">
        <f t="shared" si="51"/>
        <v>0</v>
      </c>
      <c r="W85" s="42">
        <f t="shared" si="38"/>
        <v>0</v>
      </c>
      <c r="X85" s="42">
        <f t="shared" si="38"/>
        <v>0</v>
      </c>
      <c r="Y85" s="42">
        <f t="shared" si="38"/>
        <v>0</v>
      </c>
      <c r="Z85" s="42">
        <f t="shared" si="38"/>
        <v>0</v>
      </c>
      <c r="AA85" s="42">
        <f t="shared" si="51"/>
        <v>0</v>
      </c>
      <c r="AB85" s="42">
        <f t="shared" si="39"/>
        <v>0</v>
      </c>
    </row>
    <row r="86" s="313" customFormat="1" spans="1:28">
      <c r="A86" s="44" t="s">
        <v>52</v>
      </c>
      <c r="B86" s="45">
        <f t="shared" ref="B86:AA86" si="52">B25+B54</f>
        <v>233420497.035</v>
      </c>
      <c r="C86" s="45">
        <f t="shared" si="52"/>
        <v>79501220.5523646</v>
      </c>
      <c r="D86" s="45">
        <f t="shared" si="52"/>
        <v>-556626015.241279</v>
      </c>
      <c r="E86" s="45">
        <f t="shared" si="52"/>
        <v>617788093.488642</v>
      </c>
      <c r="F86" s="45">
        <f t="shared" si="52"/>
        <v>-271048209.350566</v>
      </c>
      <c r="G86" s="45">
        <f t="shared" si="52"/>
        <v>16971372.1953208</v>
      </c>
      <c r="H86" s="45">
        <f t="shared" si="52"/>
        <v>-267381819.900566</v>
      </c>
      <c r="I86" s="45">
        <f t="shared" si="52"/>
        <v>10735398.64</v>
      </c>
      <c r="J86" s="45">
        <f t="shared" si="52"/>
        <v>-14401788.09</v>
      </c>
      <c r="K86" s="45">
        <f t="shared" si="52"/>
        <v>185518383.791354</v>
      </c>
      <c r="L86" s="45">
        <f t="shared" si="52"/>
        <v>51363988.1171284</v>
      </c>
      <c r="M86" s="45">
        <f t="shared" si="52"/>
        <v>32769181.117812</v>
      </c>
      <c r="N86" s="45">
        <f t="shared" si="52"/>
        <v>3197279.29134199</v>
      </c>
      <c r="O86" s="45">
        <f t="shared" si="52"/>
        <v>76031466.2171139</v>
      </c>
      <c r="P86" s="45">
        <f t="shared" si="52"/>
        <v>23493744.6202709</v>
      </c>
      <c r="Q86" s="45">
        <f t="shared" si="52"/>
        <v>-1337275.57231348</v>
      </c>
      <c r="R86" s="45">
        <f t="shared" si="52"/>
        <v>-9319011.94</v>
      </c>
      <c r="S86" s="45">
        <f t="shared" si="52"/>
        <v>178287023.794485</v>
      </c>
      <c r="T86" s="45">
        <f t="shared" si="52"/>
        <v>9394653.92384675</v>
      </c>
      <c r="U86" s="45">
        <f t="shared" si="52"/>
        <v>166449929.381023</v>
      </c>
      <c r="V86" s="45">
        <f t="shared" si="52"/>
        <v>7092198.37772213</v>
      </c>
      <c r="W86" s="45">
        <f t="shared" si="38"/>
        <v>-133343.308106887</v>
      </c>
      <c r="X86" s="45">
        <f t="shared" si="38"/>
        <v>-2846825.68</v>
      </c>
      <c r="Y86" s="45">
        <f t="shared" si="38"/>
        <v>-675977.7</v>
      </c>
      <c r="Z86" s="45">
        <f t="shared" si="38"/>
        <v>-993611.2</v>
      </c>
      <c r="AA86" s="45">
        <f t="shared" si="52"/>
        <v>-7519216.97</v>
      </c>
      <c r="AB86" s="45">
        <f t="shared" si="39"/>
        <v>-8377787.94</v>
      </c>
    </row>
    <row r="87" s="313" customFormat="1" spans="1:28">
      <c r="A87" s="46" t="s">
        <v>53</v>
      </c>
      <c r="B87" s="47">
        <f t="shared" ref="B87:AA87" si="53">B26+B55</f>
        <v>0</v>
      </c>
      <c r="C87" s="47">
        <f t="shared" si="53"/>
        <v>0</v>
      </c>
      <c r="D87" s="47">
        <f t="shared" si="53"/>
        <v>0</v>
      </c>
      <c r="E87" s="47"/>
      <c r="F87" s="47">
        <f t="shared" si="53"/>
        <v>0</v>
      </c>
      <c r="G87" s="47">
        <f t="shared" si="53"/>
        <v>0</v>
      </c>
      <c r="H87" s="47">
        <f t="shared" si="53"/>
        <v>0</v>
      </c>
      <c r="I87" s="47">
        <f t="shared" si="53"/>
        <v>0</v>
      </c>
      <c r="J87" s="47">
        <f t="shared" si="53"/>
        <v>0</v>
      </c>
      <c r="K87" s="47">
        <f t="shared" si="53"/>
        <v>0</v>
      </c>
      <c r="L87" s="47">
        <f t="shared" si="53"/>
        <v>0</v>
      </c>
      <c r="M87" s="47">
        <f t="shared" si="53"/>
        <v>0</v>
      </c>
      <c r="N87" s="47">
        <f t="shared" si="53"/>
        <v>0</v>
      </c>
      <c r="O87" s="47">
        <f t="shared" si="53"/>
        <v>0</v>
      </c>
      <c r="P87" s="47">
        <f t="shared" si="53"/>
        <v>0</v>
      </c>
      <c r="Q87" s="47">
        <f t="shared" si="53"/>
        <v>0</v>
      </c>
      <c r="R87" s="47">
        <f t="shared" si="53"/>
        <v>0</v>
      </c>
      <c r="S87" s="47">
        <f t="shared" si="53"/>
        <v>0</v>
      </c>
      <c r="T87" s="47">
        <f t="shared" si="53"/>
        <v>0</v>
      </c>
      <c r="U87" s="47">
        <f t="shared" si="53"/>
        <v>0</v>
      </c>
      <c r="V87" s="47">
        <f t="shared" si="53"/>
        <v>0</v>
      </c>
      <c r="W87" s="47">
        <f t="shared" si="38"/>
        <v>0</v>
      </c>
      <c r="X87" s="47">
        <f t="shared" si="38"/>
        <v>0</v>
      </c>
      <c r="Y87" s="47">
        <f t="shared" si="38"/>
        <v>0</v>
      </c>
      <c r="Z87" s="47">
        <f t="shared" si="38"/>
        <v>0</v>
      </c>
      <c r="AA87" s="47">
        <f t="shared" si="53"/>
        <v>0</v>
      </c>
      <c r="AB87" s="47">
        <f t="shared" si="39"/>
        <v>0</v>
      </c>
    </row>
    <row r="88" s="313" customFormat="1" ht="15" customHeight="1" spans="1:28">
      <c r="A88" s="48" t="s">
        <v>54</v>
      </c>
      <c r="B88" s="49">
        <f t="shared" ref="B88:AA88" si="54">B27+B56</f>
        <v>233420497.035</v>
      </c>
      <c r="C88" s="49">
        <f t="shared" si="54"/>
        <v>79501220.5523646</v>
      </c>
      <c r="D88" s="49">
        <f t="shared" si="54"/>
        <v>-556626015.241279</v>
      </c>
      <c r="E88" s="49">
        <f t="shared" si="54"/>
        <v>617788093.488641</v>
      </c>
      <c r="F88" s="49">
        <f t="shared" si="54"/>
        <v>-271048209.350566</v>
      </c>
      <c r="G88" s="49">
        <f t="shared" si="54"/>
        <v>16971372.1953208</v>
      </c>
      <c r="H88" s="49">
        <f t="shared" si="54"/>
        <v>-267381819.900566</v>
      </c>
      <c r="I88" s="49">
        <f t="shared" si="54"/>
        <v>10735398.64</v>
      </c>
      <c r="J88" s="49">
        <f t="shared" si="54"/>
        <v>-14401788.09</v>
      </c>
      <c r="K88" s="49">
        <f t="shared" si="54"/>
        <v>185518383.791354</v>
      </c>
      <c r="L88" s="49">
        <f t="shared" si="54"/>
        <v>51363988.1171284</v>
      </c>
      <c r="M88" s="49">
        <f t="shared" si="54"/>
        <v>32769181.117812</v>
      </c>
      <c r="N88" s="49">
        <f t="shared" si="54"/>
        <v>3197279.29134199</v>
      </c>
      <c r="O88" s="49">
        <f t="shared" si="54"/>
        <v>76031466.2171139</v>
      </c>
      <c r="P88" s="49">
        <f t="shared" si="54"/>
        <v>23493744.6202709</v>
      </c>
      <c r="Q88" s="49">
        <f t="shared" si="54"/>
        <v>-1337275.57231348</v>
      </c>
      <c r="R88" s="49">
        <f t="shared" si="54"/>
        <v>-9319011.94</v>
      </c>
      <c r="S88" s="49">
        <f t="shared" si="54"/>
        <v>178287023.794485</v>
      </c>
      <c r="T88" s="49">
        <f t="shared" si="54"/>
        <v>9394653.92384675</v>
      </c>
      <c r="U88" s="49">
        <f t="shared" si="54"/>
        <v>166449929.381023</v>
      </c>
      <c r="V88" s="49">
        <f t="shared" si="54"/>
        <v>7092198.37772213</v>
      </c>
      <c r="W88" s="49">
        <f t="shared" si="38"/>
        <v>-133343.308106887</v>
      </c>
      <c r="X88" s="49">
        <f t="shared" si="38"/>
        <v>-2846825.68</v>
      </c>
      <c r="Y88" s="49">
        <f t="shared" si="38"/>
        <v>-675977.7</v>
      </c>
      <c r="Z88" s="49">
        <f t="shared" si="38"/>
        <v>-993611.2</v>
      </c>
      <c r="AA88" s="49">
        <f t="shared" si="54"/>
        <v>-7519216.97</v>
      </c>
      <c r="AB88" s="49">
        <f t="shared" si="39"/>
        <v>-8377787.94</v>
      </c>
    </row>
    <row r="89" s="311" customFormat="1"/>
    <row r="90" s="311" customFormat="1" spans="1:28">
      <c r="A90" s="52" t="s">
        <v>70</v>
      </c>
      <c r="B90" s="53">
        <f>B59</f>
        <v>0</v>
      </c>
      <c r="C90" s="53">
        <f t="shared" ref="C90:AB90" si="55">C59</f>
        <v>0</v>
      </c>
      <c r="D90" s="53">
        <f t="shared" si="55"/>
        <v>0</v>
      </c>
      <c r="E90" s="53">
        <f t="shared" si="55"/>
        <v>289622844.20524</v>
      </c>
      <c r="F90" s="53">
        <f t="shared" si="55"/>
        <v>52890383.767</v>
      </c>
      <c r="G90" s="53">
        <f t="shared" si="55"/>
        <v>471156.72344</v>
      </c>
      <c r="H90" s="53">
        <f t="shared" si="55"/>
        <v>37206159.86776</v>
      </c>
      <c r="I90" s="53">
        <f t="shared" si="55"/>
        <v>4819251.62472</v>
      </c>
      <c r="J90" s="53">
        <f t="shared" si="55"/>
        <v>10393815.55108</v>
      </c>
      <c r="K90" s="53">
        <f t="shared" si="55"/>
        <v>188437388.9424</v>
      </c>
      <c r="L90" s="53">
        <f t="shared" si="55"/>
        <v>39989602.82564</v>
      </c>
      <c r="M90" s="53">
        <f t="shared" si="55"/>
        <v>41029602.82512</v>
      </c>
      <c r="N90" s="53">
        <f t="shared" si="55"/>
        <v>864478.27388</v>
      </c>
      <c r="O90" s="53">
        <f t="shared" si="55"/>
        <v>87812625.14128</v>
      </c>
      <c r="P90" s="53">
        <f t="shared" si="55"/>
        <v>15979344.39608</v>
      </c>
      <c r="Q90" s="53">
        <f t="shared" si="55"/>
        <v>2761735.4804</v>
      </c>
      <c r="R90" s="53">
        <f t="shared" si="55"/>
        <v>0</v>
      </c>
      <c r="S90" s="53">
        <f t="shared" si="55"/>
        <v>76034.00948</v>
      </c>
      <c r="T90" s="53">
        <f t="shared" si="55"/>
        <v>0</v>
      </c>
      <c r="U90" s="53">
        <f t="shared" si="55"/>
        <v>76034.00948</v>
      </c>
      <c r="V90" s="53">
        <f t="shared" si="55"/>
        <v>0</v>
      </c>
      <c r="W90" s="53">
        <f t="shared" si="55"/>
        <v>0</v>
      </c>
      <c r="X90" s="53">
        <f t="shared" si="55"/>
        <v>0</v>
      </c>
      <c r="Y90" s="53">
        <f t="shared" si="55"/>
        <v>0</v>
      </c>
      <c r="Z90" s="53">
        <f t="shared" si="55"/>
        <v>0</v>
      </c>
      <c r="AA90" s="53">
        <f t="shared" si="55"/>
        <v>0</v>
      </c>
      <c r="AB90" s="53">
        <f t="shared" si="55"/>
        <v>0</v>
      </c>
    </row>
    <row r="91" s="311" customFormat="1" ht="14.25" spans="1:28">
      <c r="A91" s="54" t="s">
        <v>76</v>
      </c>
      <c r="B91" s="55">
        <f>B88</f>
        <v>233420497.035</v>
      </c>
      <c r="C91" s="55">
        <f>C88-C90</f>
        <v>79501220.5523646</v>
      </c>
      <c r="D91" s="55">
        <f t="shared" ref="D91:AB91" si="56">D88-D90</f>
        <v>-556626015.241279</v>
      </c>
      <c r="E91" s="55">
        <f t="shared" si="56"/>
        <v>328165249.283401</v>
      </c>
      <c r="F91" s="55">
        <f t="shared" si="56"/>
        <v>-323938593.117566</v>
      </c>
      <c r="G91" s="55">
        <f t="shared" si="56"/>
        <v>16500215.4718808</v>
      </c>
      <c r="H91" s="55">
        <f t="shared" si="56"/>
        <v>-304587979.768326</v>
      </c>
      <c r="I91" s="55">
        <f t="shared" si="56"/>
        <v>5916147.01528</v>
      </c>
      <c r="J91" s="55">
        <f t="shared" si="56"/>
        <v>-24795603.64108</v>
      </c>
      <c r="K91" s="55">
        <f t="shared" si="56"/>
        <v>-2919005.15104628</v>
      </c>
      <c r="L91" s="55">
        <f t="shared" si="56"/>
        <v>11374385.2914884</v>
      </c>
      <c r="M91" s="55">
        <f t="shared" si="56"/>
        <v>-8260421.70730797</v>
      </c>
      <c r="N91" s="55">
        <f t="shared" si="56"/>
        <v>2332801.01746199</v>
      </c>
      <c r="O91" s="55">
        <f t="shared" si="56"/>
        <v>-11781158.9241661</v>
      </c>
      <c r="P91" s="55">
        <f t="shared" si="56"/>
        <v>7514400.22419088</v>
      </c>
      <c r="Q91" s="55">
        <f t="shared" si="56"/>
        <v>-4099011.05271348</v>
      </c>
      <c r="R91" s="55">
        <f t="shared" si="56"/>
        <v>-9319011.94</v>
      </c>
      <c r="S91" s="55">
        <f t="shared" si="56"/>
        <v>178210989.785005</v>
      </c>
      <c r="T91" s="55">
        <f t="shared" si="56"/>
        <v>9394653.92384675</v>
      </c>
      <c r="U91" s="55">
        <f t="shared" si="56"/>
        <v>166373895.371543</v>
      </c>
      <c r="V91" s="55">
        <f t="shared" si="56"/>
        <v>7092198.37772213</v>
      </c>
      <c r="W91" s="55">
        <f t="shared" si="56"/>
        <v>-133343.308106887</v>
      </c>
      <c r="X91" s="55">
        <f t="shared" si="56"/>
        <v>-2846825.68</v>
      </c>
      <c r="Y91" s="55">
        <f t="shared" si="56"/>
        <v>-675977.7</v>
      </c>
      <c r="Z91" s="55">
        <f t="shared" si="56"/>
        <v>-993611.2</v>
      </c>
      <c r="AA91" s="55">
        <f t="shared" si="56"/>
        <v>-7519216.97</v>
      </c>
      <c r="AB91" s="55">
        <f t="shared" si="56"/>
        <v>-8377787.94</v>
      </c>
    </row>
    <row r="92" s="311" customFormat="1" spans="1:28">
      <c r="A92" s="361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</row>
    <row r="93" s="315" customFormat="1" spans="1:28">
      <c r="A93" s="315" t="s">
        <v>77</v>
      </c>
      <c r="B93" s="363">
        <f>B65/10000</f>
        <v>104359.975162</v>
      </c>
      <c r="C93" s="363">
        <f t="shared" ref="C93:R93" si="57">C65/10000</f>
        <v>4152.00493064151</v>
      </c>
      <c r="D93" s="363">
        <f t="shared" si="57"/>
        <v>-26644.4793129901</v>
      </c>
      <c r="E93" s="363">
        <f t="shared" si="57"/>
        <v>99848.7404896566</v>
      </c>
      <c r="F93" s="363">
        <f t="shared" si="57"/>
        <v>-25409.3008420566</v>
      </c>
      <c r="G93" s="363">
        <f t="shared" si="57"/>
        <v>2361.76062953207</v>
      </c>
      <c r="H93" s="363">
        <f t="shared" si="57"/>
        <v>-26289.5532170566</v>
      </c>
      <c r="I93" s="363">
        <f t="shared" si="57"/>
        <v>1616.218279</v>
      </c>
      <c r="J93" s="363">
        <f t="shared" si="57"/>
        <v>-735.965904</v>
      </c>
      <c r="K93" s="363">
        <f t="shared" si="57"/>
        <v>21550.8027843</v>
      </c>
      <c r="L93" s="363">
        <f t="shared" si="57"/>
        <v>5665.691231</v>
      </c>
      <c r="M93" s="363">
        <f t="shared" si="57"/>
        <v>3801.1312013</v>
      </c>
      <c r="N93" s="363">
        <f t="shared" si="57"/>
        <v>557.498915</v>
      </c>
      <c r="O93" s="363">
        <f t="shared" si="57"/>
        <v>8413.973917</v>
      </c>
      <c r="P93" s="363">
        <f t="shared" si="57"/>
        <v>2789.280195</v>
      </c>
      <c r="Q93" s="363">
        <f t="shared" si="57"/>
        <v>323.227325</v>
      </c>
      <c r="R93" s="363">
        <f t="shared" si="57"/>
        <v>0.939396</v>
      </c>
      <c r="S93" s="363">
        <f t="shared" ref="S93:AB93" si="58">S65/10000</f>
        <v>30862.2071124486</v>
      </c>
      <c r="T93" s="363">
        <f t="shared" si="58"/>
        <v>2124.5312429434</v>
      </c>
      <c r="U93" s="363">
        <f t="shared" si="58"/>
        <v>25361.5888748386</v>
      </c>
      <c r="V93" s="363">
        <f t="shared" si="58"/>
        <v>3027.01195466667</v>
      </c>
      <c r="W93" s="363">
        <f t="shared" si="58"/>
        <v>349.07504</v>
      </c>
      <c r="X93" s="363">
        <f t="shared" si="58"/>
        <v>0</v>
      </c>
      <c r="Y93" s="363">
        <f t="shared" si="58"/>
        <v>0</v>
      </c>
      <c r="Z93" s="363">
        <f t="shared" si="58"/>
        <v>0</v>
      </c>
      <c r="AA93" s="363">
        <f t="shared" si="58"/>
        <v>0</v>
      </c>
      <c r="AB93" s="363">
        <f t="shared" si="58"/>
        <v>0.018113</v>
      </c>
    </row>
    <row r="94" s="316" customFormat="1" spans="1:28">
      <c r="A94" s="316" t="s">
        <v>53</v>
      </c>
      <c r="B94" s="364">
        <f t="shared" ref="B94:AB94" si="59">B91/10000</f>
        <v>23342.0497035</v>
      </c>
      <c r="C94" s="364">
        <f t="shared" si="59"/>
        <v>7950.12205523646</v>
      </c>
      <c r="D94" s="364">
        <f t="shared" si="59"/>
        <v>-55662.6015241279</v>
      </c>
      <c r="E94" s="364">
        <f t="shared" si="59"/>
        <v>32816.5249283401</v>
      </c>
      <c r="F94" s="364">
        <f t="shared" si="59"/>
        <v>-32393.8593117566</v>
      </c>
      <c r="G94" s="364">
        <f t="shared" si="59"/>
        <v>1650.02154718808</v>
      </c>
      <c r="H94" s="364">
        <f t="shared" si="59"/>
        <v>-30458.7979768326</v>
      </c>
      <c r="I94" s="364">
        <f t="shared" si="59"/>
        <v>591.614701528</v>
      </c>
      <c r="J94" s="364">
        <f t="shared" si="59"/>
        <v>-2479.560364108</v>
      </c>
      <c r="K94" s="364">
        <f t="shared" si="59"/>
        <v>-291.900515104628</v>
      </c>
      <c r="L94" s="364">
        <f t="shared" si="59"/>
        <v>1137.43852914884</v>
      </c>
      <c r="M94" s="364">
        <f t="shared" si="59"/>
        <v>-826.042170730797</v>
      </c>
      <c r="N94" s="364">
        <f t="shared" si="59"/>
        <v>233.280101746199</v>
      </c>
      <c r="O94" s="364">
        <f t="shared" si="59"/>
        <v>-1178.11589241661</v>
      </c>
      <c r="P94" s="364">
        <f t="shared" si="59"/>
        <v>751.440022419088</v>
      </c>
      <c r="Q94" s="364">
        <f t="shared" si="59"/>
        <v>-409.901105271348</v>
      </c>
      <c r="R94" s="364">
        <f t="shared" si="59"/>
        <v>-931.901194</v>
      </c>
      <c r="S94" s="364">
        <f t="shared" si="59"/>
        <v>17821.0989785005</v>
      </c>
      <c r="T94" s="364">
        <f t="shared" si="59"/>
        <v>939.465392384675</v>
      </c>
      <c r="U94" s="364">
        <f t="shared" si="59"/>
        <v>16637.3895371543</v>
      </c>
      <c r="V94" s="364">
        <f t="shared" si="59"/>
        <v>709.219837772213</v>
      </c>
      <c r="W94" s="364">
        <f t="shared" si="59"/>
        <v>-13.3343308106887</v>
      </c>
      <c r="X94" s="364">
        <f t="shared" si="59"/>
        <v>-284.682568</v>
      </c>
      <c r="Y94" s="364">
        <f t="shared" si="59"/>
        <v>-67.59777</v>
      </c>
      <c r="Z94" s="364">
        <f t="shared" si="59"/>
        <v>-99.36112</v>
      </c>
      <c r="AA94" s="364">
        <f t="shared" si="59"/>
        <v>-751.921697</v>
      </c>
      <c r="AB94" s="364">
        <f t="shared" si="59"/>
        <v>-837.778794</v>
      </c>
    </row>
    <row r="95" spans="12:18">
      <c r="L95" s="369"/>
      <c r="M95" s="369"/>
      <c r="N95" s="369"/>
      <c r="O95" s="369"/>
      <c r="P95" s="369"/>
      <c r="Q95" s="369"/>
      <c r="R95" s="369"/>
    </row>
    <row r="96" s="317" customFormat="1" ht="14.25" hidden="1" spans="1:27">
      <c r="A96" s="28" t="s">
        <v>3</v>
      </c>
      <c r="B96" s="28" t="s">
        <v>4</v>
      </c>
      <c r="C96" s="28" t="s">
        <v>5</v>
      </c>
      <c r="D96" s="28" t="s">
        <v>6</v>
      </c>
      <c r="E96" s="28" t="s">
        <v>7</v>
      </c>
      <c r="F96" s="28" t="s">
        <v>9</v>
      </c>
      <c r="G96" s="28"/>
      <c r="H96" s="28"/>
      <c r="I96" s="28"/>
      <c r="J96" s="28"/>
      <c r="K96" s="28" t="s">
        <v>13</v>
      </c>
      <c r="L96" s="33" t="s">
        <v>78</v>
      </c>
      <c r="M96" s="33"/>
      <c r="N96" s="33" t="s">
        <v>17</v>
      </c>
      <c r="O96" s="33" t="s">
        <v>79</v>
      </c>
      <c r="P96" s="33" t="s">
        <v>80</v>
      </c>
      <c r="Q96" s="33" t="s">
        <v>20</v>
      </c>
      <c r="R96" s="28" t="s">
        <v>81</v>
      </c>
      <c r="S96" s="33" t="s">
        <v>82</v>
      </c>
      <c r="T96" s="33" t="s">
        <v>83</v>
      </c>
      <c r="U96" s="33" t="s">
        <v>84</v>
      </c>
      <c r="V96" s="28" t="s">
        <v>85</v>
      </c>
      <c r="W96" s="28"/>
      <c r="X96" s="28"/>
      <c r="Y96" s="28"/>
      <c r="Z96" s="28"/>
      <c r="AA96" s="33" t="s">
        <v>86</v>
      </c>
    </row>
    <row r="97" s="317" customFormat="1" hidden="1" spans="1:27">
      <c r="A97" s="28" t="s">
        <v>3</v>
      </c>
      <c r="B97" s="28" t="s">
        <v>4</v>
      </c>
      <c r="C97" s="28" t="s">
        <v>5</v>
      </c>
      <c r="D97" s="28" t="s">
        <v>6</v>
      </c>
      <c r="E97" s="28" t="s">
        <v>7</v>
      </c>
      <c r="F97" s="28" t="s">
        <v>9</v>
      </c>
      <c r="G97" s="28"/>
      <c r="H97" s="28"/>
      <c r="I97" s="28"/>
      <c r="J97" s="28"/>
      <c r="K97" s="28" t="s">
        <v>13</v>
      </c>
      <c r="L97" s="33" t="s">
        <v>78</v>
      </c>
      <c r="M97" s="33"/>
      <c r="N97" s="33" t="s">
        <v>17</v>
      </c>
      <c r="O97" s="33" t="s">
        <v>79</v>
      </c>
      <c r="P97" s="33" t="s">
        <v>80</v>
      </c>
      <c r="Q97" s="33" t="s">
        <v>20</v>
      </c>
      <c r="R97" s="28" t="s">
        <v>81</v>
      </c>
      <c r="S97" s="33" t="s">
        <v>82</v>
      </c>
      <c r="T97" s="33" t="s">
        <v>83</v>
      </c>
      <c r="U97" s="33" t="s">
        <v>84</v>
      </c>
      <c r="V97" s="28" t="s">
        <v>85</v>
      </c>
      <c r="W97" s="28"/>
      <c r="X97" s="28"/>
      <c r="Y97" s="28"/>
      <c r="Z97" s="28"/>
      <c r="AA97" s="33" t="s">
        <v>86</v>
      </c>
    </row>
    <row r="98" hidden="1" spans="1:27">
      <c r="A98" s="346" t="s">
        <v>31</v>
      </c>
      <c r="B98" s="311">
        <f t="shared" ref="B98:L98" si="60">B65</f>
        <v>1043599751.62</v>
      </c>
      <c r="C98" s="311" t="e">
        <f>C65+#REF!</f>
        <v>#REF!</v>
      </c>
      <c r="D98" s="311">
        <f t="shared" si="60"/>
        <v>-266444793.129901</v>
      </c>
      <c r="E98" s="311">
        <f t="shared" si="60"/>
        <v>998487404.896566</v>
      </c>
      <c r="F98" s="311">
        <f t="shared" si="60"/>
        <v>-254093008.420566</v>
      </c>
      <c r="G98" s="311"/>
      <c r="H98" s="311"/>
      <c r="I98" s="311"/>
      <c r="J98" s="311"/>
      <c r="K98" s="311">
        <f t="shared" si="60"/>
        <v>215508027.843</v>
      </c>
      <c r="L98" s="311">
        <f t="shared" si="60"/>
        <v>56656912.31</v>
      </c>
      <c r="M98" s="311"/>
      <c r="N98" s="311">
        <f>O65+P65</f>
        <v>112032541.12</v>
      </c>
      <c r="O98" s="370">
        <f t="shared" ref="O98:O124" si="61">Q65</f>
        <v>3232273.25</v>
      </c>
      <c r="P98" s="370" t="e">
        <f>#REF!</f>
        <v>#REF!</v>
      </c>
      <c r="Q98" s="311">
        <f t="shared" ref="Q98:Q124" si="62">R65</f>
        <v>9393.96</v>
      </c>
      <c r="R98" s="311">
        <f>T65</f>
        <v>21245312.429434</v>
      </c>
      <c r="S98" s="311">
        <f>T65</f>
        <v>21245312.429434</v>
      </c>
      <c r="T98" s="311" t="e">
        <f>#REF!</f>
        <v>#REF!</v>
      </c>
      <c r="U98" s="311">
        <f>AA65</f>
        <v>0</v>
      </c>
      <c r="V98" s="311" t="e">
        <f>#REF!</f>
        <v>#REF!</v>
      </c>
      <c r="W98" s="311"/>
      <c r="X98" s="311"/>
      <c r="Y98" s="311"/>
      <c r="Z98" s="311"/>
      <c r="AA98" s="311" t="e">
        <f>#REF!</f>
        <v>#REF!</v>
      </c>
    </row>
    <row r="99" hidden="1" spans="1:27">
      <c r="A99" s="41" t="s">
        <v>32</v>
      </c>
      <c r="B99" s="311">
        <f t="shared" ref="B99:L99" si="63">B66</f>
        <v>807669141.73</v>
      </c>
      <c r="C99" s="311" t="e">
        <f>C66+#REF!</f>
        <v>#REF!</v>
      </c>
      <c r="D99" s="311">
        <f t="shared" si="63"/>
        <v>22313714.0953208</v>
      </c>
      <c r="E99" s="311">
        <f t="shared" si="63"/>
        <v>444120260.086566</v>
      </c>
      <c r="F99" s="311">
        <f t="shared" si="63"/>
        <v>45375171.869434</v>
      </c>
      <c r="G99" s="311"/>
      <c r="H99" s="311"/>
      <c r="I99" s="311"/>
      <c r="J99" s="311"/>
      <c r="K99" s="311">
        <f t="shared" si="63"/>
        <v>-830234.800000001</v>
      </c>
      <c r="L99" s="311">
        <f t="shared" si="63"/>
        <v>-2323052.16</v>
      </c>
      <c r="M99" s="311"/>
      <c r="N99" s="311">
        <f t="shared" ref="N99:N124" si="64">O66+P66</f>
        <v>-5510929.49</v>
      </c>
      <c r="O99" s="370">
        <f t="shared" si="61"/>
        <v>-164117.94</v>
      </c>
      <c r="P99" s="370" t="e">
        <f>#REF!</f>
        <v>#REF!</v>
      </c>
      <c r="Q99" s="311">
        <f t="shared" si="62"/>
        <v>-2722</v>
      </c>
      <c r="R99" s="311">
        <f t="shared" ref="R99:R124" si="65">T66</f>
        <v>21310521.299434</v>
      </c>
      <c r="S99" s="311">
        <f t="shared" ref="S99:S124" si="66">T66</f>
        <v>21310521.299434</v>
      </c>
      <c r="T99" s="311" t="e">
        <f>#REF!</f>
        <v>#REF!</v>
      </c>
      <c r="U99" s="311">
        <f t="shared" ref="U99:U114" si="67">AA66</f>
        <v>0</v>
      </c>
      <c r="V99" s="311" t="e">
        <f>#REF!</f>
        <v>#REF!</v>
      </c>
      <c r="W99" s="311"/>
      <c r="X99" s="311"/>
      <c r="Y99" s="311"/>
      <c r="Z99" s="311"/>
      <c r="AA99" s="311" t="e">
        <f>#REF!</f>
        <v>#REF!</v>
      </c>
    </row>
    <row r="100" hidden="1" spans="1:27">
      <c r="A100" s="350" t="s">
        <v>33</v>
      </c>
      <c r="B100" s="311">
        <f t="shared" ref="B100:L100" si="68">B67</f>
        <v>436274942.1</v>
      </c>
      <c r="C100" s="311" t="e">
        <f>C67+#REF!</f>
        <v>#REF!</v>
      </c>
      <c r="D100" s="311">
        <f t="shared" si="68"/>
        <v>-43795.07</v>
      </c>
      <c r="E100" s="311">
        <f t="shared" si="68"/>
        <v>433570593.8</v>
      </c>
      <c r="F100" s="311">
        <f t="shared" si="68"/>
        <v>530868.75</v>
      </c>
      <c r="G100" s="311"/>
      <c r="H100" s="311"/>
      <c r="I100" s="311"/>
      <c r="J100" s="311"/>
      <c r="K100" s="311">
        <f t="shared" si="68"/>
        <v>2217324.62</v>
      </c>
      <c r="L100" s="311">
        <f t="shared" si="68"/>
        <v>0</v>
      </c>
      <c r="M100" s="311"/>
      <c r="N100" s="311">
        <f t="shared" si="64"/>
        <v>176670.51</v>
      </c>
      <c r="O100" s="370">
        <f t="shared" si="61"/>
        <v>-19217.94</v>
      </c>
      <c r="P100" s="370" t="e">
        <f>#REF!</f>
        <v>#REF!</v>
      </c>
      <c r="Q100" s="311">
        <f t="shared" si="62"/>
        <v>0</v>
      </c>
      <c r="R100" s="311">
        <f t="shared" si="65"/>
        <v>0</v>
      </c>
      <c r="S100" s="311">
        <f t="shared" si="66"/>
        <v>0</v>
      </c>
      <c r="T100" s="311" t="e">
        <f>#REF!</f>
        <v>#REF!</v>
      </c>
      <c r="U100" s="311">
        <f t="shared" si="67"/>
        <v>0</v>
      </c>
      <c r="V100" s="311" t="e">
        <f>#REF!</f>
        <v>#REF!</v>
      </c>
      <c r="W100" s="311"/>
      <c r="X100" s="311"/>
      <c r="Y100" s="311"/>
      <c r="Z100" s="311"/>
      <c r="AA100" s="311" t="e">
        <f>#REF!</f>
        <v>#REF!</v>
      </c>
    </row>
    <row r="101" hidden="1" spans="1:27">
      <c r="A101" s="350" t="s">
        <v>34</v>
      </c>
      <c r="B101" s="311">
        <f t="shared" ref="B101:L101" si="69">B68</f>
        <v>298645091.53</v>
      </c>
      <c r="C101" s="311" t="e">
        <f>C68+#REF!</f>
        <v>#REF!</v>
      </c>
      <c r="D101" s="311">
        <f t="shared" si="69"/>
        <v>-115516.943396226</v>
      </c>
      <c r="E101" s="311">
        <f t="shared" si="69"/>
        <v>5514238.08471698</v>
      </c>
      <c r="F101" s="311">
        <f t="shared" si="69"/>
        <v>0</v>
      </c>
      <c r="G101" s="311"/>
      <c r="H101" s="311"/>
      <c r="I101" s="311"/>
      <c r="J101" s="311"/>
      <c r="K101" s="311">
        <f t="shared" si="69"/>
        <v>18867.92</v>
      </c>
      <c r="L101" s="311">
        <f t="shared" si="69"/>
        <v>0</v>
      </c>
      <c r="M101" s="311"/>
      <c r="N101" s="311">
        <f t="shared" si="64"/>
        <v>0</v>
      </c>
      <c r="O101" s="370">
        <f t="shared" si="61"/>
        <v>0</v>
      </c>
      <c r="P101" s="370" t="e">
        <f>#REF!</f>
        <v>#REF!</v>
      </c>
      <c r="Q101" s="311">
        <f t="shared" si="62"/>
        <v>0</v>
      </c>
      <c r="R101" s="311">
        <f t="shared" si="65"/>
        <v>21310521.299434</v>
      </c>
      <c r="S101" s="311">
        <f t="shared" si="66"/>
        <v>21310521.299434</v>
      </c>
      <c r="T101" s="311" t="e">
        <f>#REF!</f>
        <v>#REF!</v>
      </c>
      <c r="U101" s="311">
        <f t="shared" si="67"/>
        <v>0</v>
      </c>
      <c r="V101" s="311" t="e">
        <f>#REF!</f>
        <v>#REF!</v>
      </c>
      <c r="W101" s="311"/>
      <c r="X101" s="311"/>
      <c r="Y101" s="311"/>
      <c r="Z101" s="311"/>
      <c r="AA101" s="311" t="e">
        <f>#REF!</f>
        <v>#REF!</v>
      </c>
    </row>
    <row r="102" hidden="1" spans="1:27">
      <c r="A102" s="350" t="s">
        <v>35</v>
      </c>
      <c r="B102" s="311">
        <f t="shared" ref="B102:L102" si="70">B69</f>
        <v>70244462.61</v>
      </c>
      <c r="C102" s="311" t="e">
        <f>C69+#REF!</f>
        <v>#REF!</v>
      </c>
      <c r="D102" s="311">
        <f t="shared" si="70"/>
        <v>22985934.448717</v>
      </c>
      <c r="E102" s="311">
        <f t="shared" si="70"/>
        <v>3153505.75184906</v>
      </c>
      <c r="F102" s="311">
        <f t="shared" si="70"/>
        <v>44844303.119434</v>
      </c>
      <c r="G102" s="311"/>
      <c r="H102" s="311"/>
      <c r="I102" s="311"/>
      <c r="J102" s="311"/>
      <c r="K102" s="311">
        <f t="shared" si="70"/>
        <v>-4202058.72</v>
      </c>
      <c r="L102" s="311">
        <f t="shared" si="70"/>
        <v>-230700</v>
      </c>
      <c r="M102" s="311"/>
      <c r="N102" s="311">
        <f t="shared" si="64"/>
        <v>-5687600</v>
      </c>
      <c r="O102" s="370">
        <f t="shared" si="61"/>
        <v>-144900</v>
      </c>
      <c r="P102" s="370" t="e">
        <f>#REF!</f>
        <v>#REF!</v>
      </c>
      <c r="Q102" s="311">
        <f t="shared" si="62"/>
        <v>0</v>
      </c>
      <c r="R102" s="311">
        <f t="shared" si="65"/>
        <v>0</v>
      </c>
      <c r="S102" s="311">
        <f t="shared" si="66"/>
        <v>0</v>
      </c>
      <c r="T102" s="311" t="e">
        <f>#REF!</f>
        <v>#REF!</v>
      </c>
      <c r="U102" s="311">
        <f t="shared" si="67"/>
        <v>0</v>
      </c>
      <c r="V102" s="311" t="e">
        <f>#REF!</f>
        <v>#REF!</v>
      </c>
      <c r="W102" s="311"/>
      <c r="X102" s="311"/>
      <c r="Y102" s="311"/>
      <c r="Z102" s="311"/>
      <c r="AA102" s="311" t="e">
        <f>#REF!</f>
        <v>#REF!</v>
      </c>
    </row>
    <row r="103" hidden="1" spans="1:27">
      <c r="A103" s="41" t="s">
        <v>36</v>
      </c>
      <c r="B103" s="311">
        <f t="shared" ref="B103:L103" si="71">B70</f>
        <v>279140770.44</v>
      </c>
      <c r="C103" s="311" t="e">
        <f>C70+#REF!</f>
        <v>#REF!</v>
      </c>
      <c r="D103" s="311">
        <f t="shared" si="71"/>
        <v>-297863453.092222</v>
      </c>
      <c r="E103" s="311">
        <f t="shared" si="71"/>
        <v>541540746.97</v>
      </c>
      <c r="F103" s="311">
        <f t="shared" si="71"/>
        <v>2405069.61</v>
      </c>
      <c r="G103" s="311"/>
      <c r="H103" s="311"/>
      <c r="I103" s="311"/>
      <c r="J103" s="311"/>
      <c r="K103" s="311">
        <f t="shared" si="71"/>
        <v>25948627.52</v>
      </c>
      <c r="L103" s="311">
        <f t="shared" si="71"/>
        <v>213825.61</v>
      </c>
      <c r="M103" s="311"/>
      <c r="N103" s="311">
        <f t="shared" si="64"/>
        <v>25550387.02</v>
      </c>
      <c r="O103" s="370">
        <f t="shared" si="61"/>
        <v>797697.13</v>
      </c>
      <c r="P103" s="370" t="e">
        <f>#REF!</f>
        <v>#REF!</v>
      </c>
      <c r="Q103" s="311">
        <f t="shared" si="62"/>
        <v>12115.96</v>
      </c>
      <c r="R103" s="311">
        <f t="shared" si="65"/>
        <v>0</v>
      </c>
      <c r="S103" s="311">
        <f t="shared" si="66"/>
        <v>0</v>
      </c>
      <c r="T103" s="311" t="e">
        <f>#REF!</f>
        <v>#REF!</v>
      </c>
      <c r="U103" s="311">
        <f t="shared" si="67"/>
        <v>0</v>
      </c>
      <c r="V103" s="311" t="e">
        <f>#REF!</f>
        <v>#REF!</v>
      </c>
      <c r="W103" s="311"/>
      <c r="X103" s="311"/>
      <c r="Y103" s="311"/>
      <c r="Z103" s="311"/>
      <c r="AA103" s="311" t="e">
        <f>#REF!</f>
        <v>#REF!</v>
      </c>
    </row>
    <row r="104" hidden="1" spans="1:27">
      <c r="A104" s="41" t="s">
        <v>37</v>
      </c>
      <c r="B104" s="311">
        <f t="shared" ref="B104:L104" si="72">B71</f>
        <v>89858109.0399999</v>
      </c>
      <c r="C104" s="311" t="e">
        <f>C71+#REF!</f>
        <v>#REF!</v>
      </c>
      <c r="D104" s="311">
        <f t="shared" si="72"/>
        <v>9170224.967</v>
      </c>
      <c r="E104" s="311">
        <f t="shared" si="72"/>
        <v>425281.76</v>
      </c>
      <c r="F104" s="311">
        <f t="shared" si="72"/>
        <v>-92368423.05</v>
      </c>
      <c r="G104" s="311"/>
      <c r="H104" s="311"/>
      <c r="I104" s="311"/>
      <c r="J104" s="311"/>
      <c r="K104" s="311">
        <f t="shared" si="72"/>
        <v>178272614.153</v>
      </c>
      <c r="L104" s="311">
        <f t="shared" si="72"/>
        <v>64004857.95</v>
      </c>
      <c r="M104" s="311"/>
      <c r="N104" s="311">
        <f t="shared" si="64"/>
        <v>45030112.63</v>
      </c>
      <c r="O104" s="370">
        <f t="shared" si="61"/>
        <v>-4461370.2</v>
      </c>
      <c r="P104" s="370" t="e">
        <f>#REF!</f>
        <v>#REF!</v>
      </c>
      <c r="Q104" s="311">
        <f t="shared" si="62"/>
        <v>0</v>
      </c>
      <c r="R104" s="311">
        <f t="shared" si="65"/>
        <v>-94002.15</v>
      </c>
      <c r="S104" s="311">
        <f t="shared" si="66"/>
        <v>-94002.15</v>
      </c>
      <c r="T104" s="311" t="e">
        <f>#REF!</f>
        <v>#REF!</v>
      </c>
      <c r="U104" s="311">
        <f t="shared" si="67"/>
        <v>0</v>
      </c>
      <c r="V104" s="311" t="e">
        <f>#REF!</f>
        <v>#REF!</v>
      </c>
      <c r="W104" s="311"/>
      <c r="X104" s="311"/>
      <c r="Y104" s="311"/>
      <c r="Z104" s="311"/>
      <c r="AA104" s="311" t="e">
        <f>#REF!</f>
        <v>#REF!</v>
      </c>
    </row>
    <row r="105" hidden="1" spans="1:27">
      <c r="A105" s="41" t="s">
        <v>38</v>
      </c>
      <c r="B105" s="311">
        <f t="shared" ref="B105:L105" si="73">B72</f>
        <v>0</v>
      </c>
      <c r="C105" s="311" t="e">
        <f>C72+#REF!</f>
        <v>#REF!</v>
      </c>
      <c r="D105" s="311">
        <f t="shared" si="73"/>
        <v>0</v>
      </c>
      <c r="E105" s="311">
        <f t="shared" si="73"/>
        <v>0</v>
      </c>
      <c r="F105" s="311">
        <f t="shared" si="73"/>
        <v>0</v>
      </c>
      <c r="G105" s="311"/>
      <c r="H105" s="311"/>
      <c r="I105" s="311"/>
      <c r="J105" s="311"/>
      <c r="K105" s="311">
        <f t="shared" si="73"/>
        <v>0</v>
      </c>
      <c r="L105" s="311">
        <f t="shared" si="73"/>
        <v>0</v>
      </c>
      <c r="M105" s="311"/>
      <c r="N105" s="311">
        <f t="shared" si="64"/>
        <v>0</v>
      </c>
      <c r="O105" s="370">
        <f t="shared" si="61"/>
        <v>0</v>
      </c>
      <c r="P105" s="370" t="e">
        <f>#REF!</f>
        <v>#REF!</v>
      </c>
      <c r="Q105" s="311">
        <f t="shared" si="62"/>
        <v>0</v>
      </c>
      <c r="R105" s="311">
        <f t="shared" si="65"/>
        <v>0</v>
      </c>
      <c r="S105" s="311">
        <f t="shared" si="66"/>
        <v>0</v>
      </c>
      <c r="T105" s="311" t="e">
        <f>#REF!</f>
        <v>#REF!</v>
      </c>
      <c r="U105" s="311">
        <f t="shared" si="67"/>
        <v>0</v>
      </c>
      <c r="V105" s="311" t="e">
        <f>#REF!</f>
        <v>#REF!</v>
      </c>
      <c r="W105" s="311"/>
      <c r="X105" s="311"/>
      <c r="Y105" s="311"/>
      <c r="Z105" s="311"/>
      <c r="AA105" s="311" t="e">
        <f>#REF!</f>
        <v>#REF!</v>
      </c>
    </row>
    <row r="106" hidden="1" spans="1:27">
      <c r="A106" s="41" t="s">
        <v>39</v>
      </c>
      <c r="B106" s="311">
        <f t="shared" ref="B106:L106" si="74">B73</f>
        <v>-139999768.54</v>
      </c>
      <c r="C106" s="311" t="e">
        <f>C73+#REF!</f>
        <v>#REF!</v>
      </c>
      <c r="D106" s="311">
        <f t="shared" si="74"/>
        <v>-168762.47</v>
      </c>
      <c r="E106" s="311">
        <f t="shared" si="74"/>
        <v>1772464.4</v>
      </c>
      <c r="F106" s="311">
        <f t="shared" si="74"/>
        <v>-209504826.85</v>
      </c>
      <c r="G106" s="311"/>
      <c r="H106" s="311"/>
      <c r="I106" s="311"/>
      <c r="J106" s="311"/>
      <c r="K106" s="311">
        <f t="shared" si="74"/>
        <v>12117020.97</v>
      </c>
      <c r="L106" s="311">
        <f t="shared" si="74"/>
        <v>-5238719.09</v>
      </c>
      <c r="M106" s="311"/>
      <c r="N106" s="311">
        <f t="shared" si="64"/>
        <v>46962970.96</v>
      </c>
      <c r="O106" s="370">
        <f t="shared" si="61"/>
        <v>7060064.26</v>
      </c>
      <c r="P106" s="370" t="e">
        <f>#REF!</f>
        <v>#REF!</v>
      </c>
      <c r="Q106" s="311">
        <f t="shared" si="62"/>
        <v>0</v>
      </c>
      <c r="R106" s="311">
        <f t="shared" si="65"/>
        <v>28793.28</v>
      </c>
      <c r="S106" s="311">
        <f t="shared" si="66"/>
        <v>28793.28</v>
      </c>
      <c r="T106" s="311" t="e">
        <f>#REF!</f>
        <v>#REF!</v>
      </c>
      <c r="U106" s="311">
        <f t="shared" si="67"/>
        <v>0</v>
      </c>
      <c r="V106" s="311" t="e">
        <f>#REF!</f>
        <v>#REF!</v>
      </c>
      <c r="W106" s="311"/>
      <c r="X106" s="311"/>
      <c r="Y106" s="311"/>
      <c r="Z106" s="311"/>
      <c r="AA106" s="311" t="e">
        <f>#REF!</f>
        <v>#REF!</v>
      </c>
    </row>
    <row r="107" hidden="1" spans="1:27">
      <c r="A107" s="41" t="s">
        <v>40</v>
      </c>
      <c r="B107" s="311">
        <f t="shared" ref="B107:L107" si="75">B74</f>
        <v>-888401.65</v>
      </c>
      <c r="C107" s="311" t="e">
        <f>C74+#REF!</f>
        <v>#REF!</v>
      </c>
      <c r="D107" s="311">
        <f t="shared" si="75"/>
        <v>103302.24</v>
      </c>
      <c r="E107" s="311">
        <f t="shared" si="75"/>
        <v>-991703.89</v>
      </c>
      <c r="F107" s="311">
        <f t="shared" si="75"/>
        <v>0</v>
      </c>
      <c r="G107" s="311"/>
      <c r="H107" s="311"/>
      <c r="I107" s="311"/>
      <c r="J107" s="311"/>
      <c r="K107" s="311">
        <f t="shared" si="75"/>
        <v>0</v>
      </c>
      <c r="L107" s="311">
        <f t="shared" si="75"/>
        <v>0</v>
      </c>
      <c r="M107" s="311"/>
      <c r="N107" s="311">
        <f t="shared" si="64"/>
        <v>0</v>
      </c>
      <c r="O107" s="370">
        <f t="shared" si="61"/>
        <v>0</v>
      </c>
      <c r="P107" s="370" t="e">
        <f>#REF!</f>
        <v>#REF!</v>
      </c>
      <c r="Q107" s="311">
        <f t="shared" si="62"/>
        <v>0</v>
      </c>
      <c r="R107" s="311">
        <f t="shared" si="65"/>
        <v>0</v>
      </c>
      <c r="S107" s="311">
        <f t="shared" si="66"/>
        <v>0</v>
      </c>
      <c r="T107" s="311" t="e">
        <f>#REF!</f>
        <v>#REF!</v>
      </c>
      <c r="U107" s="311">
        <f t="shared" si="67"/>
        <v>0</v>
      </c>
      <c r="V107" s="311" t="e">
        <f>#REF!</f>
        <v>#REF!</v>
      </c>
      <c r="W107" s="311"/>
      <c r="X107" s="311"/>
      <c r="Y107" s="311"/>
      <c r="Z107" s="311"/>
      <c r="AA107" s="311" t="e">
        <f>#REF!</f>
        <v>#REF!</v>
      </c>
    </row>
    <row r="108" hidden="1" spans="1:27">
      <c r="A108" s="41" t="s">
        <v>41</v>
      </c>
      <c r="B108" s="311">
        <f t="shared" ref="B108:L108" si="76">B75</f>
        <v>7819900.6</v>
      </c>
      <c r="C108" s="311" t="e">
        <f>C75+#REF!</f>
        <v>#REF!</v>
      </c>
      <c r="D108" s="311">
        <f t="shared" si="76"/>
        <v>181.13</v>
      </c>
      <c r="E108" s="311">
        <f t="shared" si="76"/>
        <v>11620355.57</v>
      </c>
      <c r="F108" s="311">
        <f t="shared" si="76"/>
        <v>0</v>
      </c>
      <c r="G108" s="311"/>
      <c r="H108" s="311"/>
      <c r="I108" s="311"/>
      <c r="J108" s="311"/>
      <c r="K108" s="311">
        <f t="shared" si="76"/>
        <v>0</v>
      </c>
      <c r="L108" s="311">
        <f t="shared" si="76"/>
        <v>0</v>
      </c>
      <c r="M108" s="311"/>
      <c r="N108" s="311">
        <f t="shared" si="64"/>
        <v>0</v>
      </c>
      <c r="O108" s="370">
        <f t="shared" si="61"/>
        <v>0</v>
      </c>
      <c r="P108" s="370" t="e">
        <f>#REF!</f>
        <v>#REF!</v>
      </c>
      <c r="Q108" s="311">
        <f t="shared" si="62"/>
        <v>0</v>
      </c>
      <c r="R108" s="311">
        <f t="shared" si="65"/>
        <v>0</v>
      </c>
      <c r="S108" s="311">
        <f t="shared" si="66"/>
        <v>0</v>
      </c>
      <c r="T108" s="311" t="e">
        <f>#REF!</f>
        <v>#REF!</v>
      </c>
      <c r="U108" s="311">
        <f t="shared" si="67"/>
        <v>0</v>
      </c>
      <c r="V108" s="311" t="e">
        <f>#REF!</f>
        <v>#REF!</v>
      </c>
      <c r="W108" s="311"/>
      <c r="X108" s="311"/>
      <c r="Y108" s="311"/>
      <c r="Z108" s="311"/>
      <c r="AA108" s="311" t="e">
        <f>#REF!</f>
        <v>#REF!</v>
      </c>
    </row>
    <row r="109" hidden="1" spans="1:27">
      <c r="A109" s="44" t="s">
        <v>42</v>
      </c>
      <c r="B109" s="311">
        <f t="shared" ref="B109:L109" si="77">B76</f>
        <v>749645691.4</v>
      </c>
      <c r="C109" s="311" t="e">
        <f>C76+#REF!</f>
        <v>#REF!</v>
      </c>
      <c r="D109" s="311">
        <f t="shared" si="77"/>
        <v>178612547.261378</v>
      </c>
      <c r="E109" s="311">
        <f t="shared" si="77"/>
        <v>380113433.867924</v>
      </c>
      <c r="F109" s="311">
        <f t="shared" si="77"/>
        <v>16946863.43</v>
      </c>
      <c r="G109" s="311"/>
      <c r="H109" s="311"/>
      <c r="I109" s="311"/>
      <c r="J109" s="311"/>
      <c r="K109" s="311">
        <f t="shared" si="77"/>
        <v>29967144.0516463</v>
      </c>
      <c r="L109" s="311">
        <f t="shared" si="77"/>
        <v>5285424.19287157</v>
      </c>
      <c r="M109" s="311"/>
      <c r="N109" s="311">
        <f t="shared" si="64"/>
        <v>12507330.2826152</v>
      </c>
      <c r="O109" s="370">
        <f t="shared" si="61"/>
        <v>4569548.82231348</v>
      </c>
      <c r="P109" s="370" t="e">
        <f>#REF!</f>
        <v>#REF!</v>
      </c>
      <c r="Q109" s="311">
        <f t="shared" si="62"/>
        <v>9327729.16</v>
      </c>
      <c r="R109" s="311">
        <f t="shared" si="65"/>
        <v>11850658.5055872</v>
      </c>
      <c r="S109" s="311">
        <f t="shared" si="66"/>
        <v>11850658.5055872</v>
      </c>
      <c r="T109" s="311" t="e">
        <f>#REF!</f>
        <v>#REF!</v>
      </c>
      <c r="U109" s="311">
        <f t="shared" si="67"/>
        <v>7519216.97</v>
      </c>
      <c r="V109" s="311" t="e">
        <f>#REF!</f>
        <v>#REF!</v>
      </c>
      <c r="W109" s="311"/>
      <c r="X109" s="311"/>
      <c r="Y109" s="311"/>
      <c r="Z109" s="311"/>
      <c r="AA109" s="311" t="e">
        <f>#REF!</f>
        <v>#REF!</v>
      </c>
    </row>
    <row r="110" hidden="1" spans="1:27">
      <c r="A110" s="42" t="s">
        <v>43</v>
      </c>
      <c r="B110" s="311">
        <f t="shared" ref="B110:L110" si="78">B77</f>
        <v>10214817.1</v>
      </c>
      <c r="C110" s="311" t="e">
        <f>C77+#REF!</f>
        <v>#REF!</v>
      </c>
      <c r="D110" s="311">
        <f t="shared" si="78"/>
        <v>-1250515.32</v>
      </c>
      <c r="E110" s="311">
        <f t="shared" si="78"/>
        <v>6588031.82</v>
      </c>
      <c r="F110" s="311">
        <f t="shared" si="78"/>
        <v>232089.5</v>
      </c>
      <c r="G110" s="311"/>
      <c r="H110" s="311"/>
      <c r="I110" s="311"/>
      <c r="J110" s="311"/>
      <c r="K110" s="311">
        <f t="shared" si="78"/>
        <v>2562532.94</v>
      </c>
      <c r="L110" s="311">
        <f t="shared" si="78"/>
        <v>1709544.55</v>
      </c>
      <c r="M110" s="311"/>
      <c r="N110" s="311">
        <f t="shared" si="64"/>
        <v>199595.22</v>
      </c>
      <c r="O110" s="370">
        <f t="shared" si="61"/>
        <v>-34050.57</v>
      </c>
      <c r="P110" s="370" t="e">
        <f>#REF!</f>
        <v>#REF!</v>
      </c>
      <c r="Q110" s="311">
        <f t="shared" si="62"/>
        <v>-33159.47</v>
      </c>
      <c r="R110" s="311">
        <f t="shared" si="65"/>
        <v>152079.79</v>
      </c>
      <c r="S110" s="311">
        <f t="shared" si="66"/>
        <v>152079.79</v>
      </c>
      <c r="T110" s="311" t="e">
        <f>#REF!</f>
        <v>#REF!</v>
      </c>
      <c r="U110" s="311">
        <f t="shared" si="67"/>
        <v>-7600.37</v>
      </c>
      <c r="V110" s="311" t="e">
        <f>#REF!</f>
        <v>#REF!</v>
      </c>
      <c r="W110" s="311"/>
      <c r="X110" s="311"/>
      <c r="Y110" s="311"/>
      <c r="Z110" s="311"/>
      <c r="AA110" s="311" t="e">
        <f>#REF!</f>
        <v>#REF!</v>
      </c>
    </row>
    <row r="111" hidden="1" spans="1:27">
      <c r="A111" s="42" t="s">
        <v>44</v>
      </c>
      <c r="B111" s="311">
        <f t="shared" ref="B111:L111" si="79">B78</f>
        <v>729418188.97</v>
      </c>
      <c r="C111" s="311" t="e">
        <f>C78+#REF!</f>
        <v>#REF!</v>
      </c>
      <c r="D111" s="311">
        <f t="shared" si="79"/>
        <v>178025539.251378</v>
      </c>
      <c r="E111" s="311">
        <f t="shared" si="79"/>
        <v>365350240.047925</v>
      </c>
      <c r="F111" s="311">
        <f t="shared" si="79"/>
        <v>16714773.93</v>
      </c>
      <c r="G111" s="311"/>
      <c r="H111" s="311"/>
      <c r="I111" s="311"/>
      <c r="J111" s="311"/>
      <c r="K111" s="311">
        <f t="shared" si="79"/>
        <v>27404611.1116463</v>
      </c>
      <c r="L111" s="311">
        <f t="shared" si="79"/>
        <v>3575879.64287157</v>
      </c>
      <c r="M111" s="311"/>
      <c r="N111" s="311">
        <f t="shared" si="64"/>
        <v>12307735.0626152</v>
      </c>
      <c r="O111" s="370">
        <f t="shared" si="61"/>
        <v>4603599.39231348</v>
      </c>
      <c r="P111" s="370" t="e">
        <f>#REF!</f>
        <v>#REF!</v>
      </c>
      <c r="Q111" s="311">
        <f t="shared" si="62"/>
        <v>9360888.63</v>
      </c>
      <c r="R111" s="311">
        <f t="shared" si="65"/>
        <v>11698578.7155872</v>
      </c>
      <c r="S111" s="311">
        <f t="shared" si="66"/>
        <v>11698578.7155872</v>
      </c>
      <c r="T111" s="311" t="e">
        <f>#REF!</f>
        <v>#REF!</v>
      </c>
      <c r="U111" s="311">
        <f t="shared" si="67"/>
        <v>7526817.34</v>
      </c>
      <c r="V111" s="311" t="e">
        <f>#REF!</f>
        <v>#REF!</v>
      </c>
      <c r="W111" s="311"/>
      <c r="X111" s="311"/>
      <c r="Y111" s="311"/>
      <c r="Z111" s="311"/>
      <c r="AA111" s="311" t="e">
        <f>#REF!</f>
        <v>#REF!</v>
      </c>
    </row>
    <row r="112" hidden="1" spans="1:27">
      <c r="A112" s="42" t="s">
        <v>45</v>
      </c>
      <c r="B112" s="311">
        <f t="shared" ref="B112:L112" si="80">B79</f>
        <v>5748754.72</v>
      </c>
      <c r="C112" s="311" t="e">
        <f>C79+#REF!</f>
        <v>#REF!</v>
      </c>
      <c r="D112" s="311">
        <f t="shared" si="80"/>
        <v>1837523.33</v>
      </c>
      <c r="E112" s="311">
        <f t="shared" si="80"/>
        <v>3911231.39</v>
      </c>
      <c r="F112" s="311">
        <f t="shared" si="80"/>
        <v>0</v>
      </c>
      <c r="G112" s="311"/>
      <c r="H112" s="311"/>
      <c r="I112" s="311"/>
      <c r="J112" s="311"/>
      <c r="K112" s="311">
        <f t="shared" si="80"/>
        <v>0</v>
      </c>
      <c r="L112" s="311">
        <f t="shared" si="80"/>
        <v>0</v>
      </c>
      <c r="M112" s="311"/>
      <c r="N112" s="311">
        <f t="shared" si="64"/>
        <v>0</v>
      </c>
      <c r="O112" s="370">
        <f t="shared" si="61"/>
        <v>0</v>
      </c>
      <c r="P112" s="370" t="e">
        <f>#REF!</f>
        <v>#REF!</v>
      </c>
      <c r="Q112" s="311">
        <f t="shared" si="62"/>
        <v>0</v>
      </c>
      <c r="R112" s="311">
        <f t="shared" si="65"/>
        <v>0</v>
      </c>
      <c r="S112" s="311">
        <f t="shared" si="66"/>
        <v>0</v>
      </c>
      <c r="T112" s="311" t="e">
        <f>#REF!</f>
        <v>#REF!</v>
      </c>
      <c r="U112" s="311">
        <f t="shared" si="67"/>
        <v>0</v>
      </c>
      <c r="V112" s="311" t="e">
        <f>#REF!</f>
        <v>#REF!</v>
      </c>
      <c r="W112" s="311"/>
      <c r="X112" s="311"/>
      <c r="Y112" s="311"/>
      <c r="Z112" s="311"/>
      <c r="AA112" s="311" t="e">
        <f>#REF!</f>
        <v>#REF!</v>
      </c>
    </row>
    <row r="113" hidden="1" spans="1:27">
      <c r="A113" s="42" t="s">
        <v>46</v>
      </c>
      <c r="B113" s="311">
        <f t="shared" ref="B113:L113" si="81">B80</f>
        <v>4263930.61</v>
      </c>
      <c r="C113" s="311" t="e">
        <f>C80+#REF!</f>
        <v>#REF!</v>
      </c>
      <c r="D113" s="311">
        <f t="shared" si="81"/>
        <v>0</v>
      </c>
      <c r="E113" s="311">
        <f t="shared" si="81"/>
        <v>4263930.61</v>
      </c>
      <c r="F113" s="311">
        <f t="shared" si="81"/>
        <v>0</v>
      </c>
      <c r="G113" s="311"/>
      <c r="H113" s="311"/>
      <c r="I113" s="311"/>
      <c r="J113" s="311"/>
      <c r="K113" s="311">
        <f t="shared" si="81"/>
        <v>0</v>
      </c>
      <c r="L113" s="311">
        <f t="shared" si="81"/>
        <v>0</v>
      </c>
      <c r="M113" s="311"/>
      <c r="N113" s="311">
        <f t="shared" si="64"/>
        <v>0</v>
      </c>
      <c r="O113" s="370">
        <f t="shared" si="61"/>
        <v>0</v>
      </c>
      <c r="P113" s="370" t="e">
        <f>#REF!</f>
        <v>#REF!</v>
      </c>
      <c r="Q113" s="311">
        <f t="shared" si="62"/>
        <v>0</v>
      </c>
      <c r="R113" s="311">
        <f t="shared" si="65"/>
        <v>0</v>
      </c>
      <c r="S113" s="311">
        <f t="shared" si="66"/>
        <v>0</v>
      </c>
      <c r="T113" s="311" t="e">
        <f>#REF!</f>
        <v>#REF!</v>
      </c>
      <c r="U113" s="311">
        <f t="shared" si="67"/>
        <v>0</v>
      </c>
      <c r="V113" s="311" t="e">
        <f>#REF!</f>
        <v>#REF!</v>
      </c>
      <c r="W113" s="311"/>
      <c r="X113" s="311"/>
      <c r="Y113" s="311"/>
      <c r="Z113" s="311"/>
      <c r="AA113" s="311" t="e">
        <f>#REF!</f>
        <v>#REF!</v>
      </c>
    </row>
    <row r="114" hidden="1" spans="1:27">
      <c r="A114" s="44" t="s">
        <v>47</v>
      </c>
      <c r="B114" s="311">
        <f t="shared" ref="B114:L114" si="82">B81</f>
        <v>293954060.22</v>
      </c>
      <c r="C114" s="311" t="e">
        <f>C81+#REF!</f>
        <v>#REF!</v>
      </c>
      <c r="D114" s="311">
        <f t="shared" si="82"/>
        <v>-445057340.391279</v>
      </c>
      <c r="E114" s="311">
        <f t="shared" si="82"/>
        <v>618373971.028642</v>
      </c>
      <c r="F114" s="311">
        <f t="shared" si="82"/>
        <v>-271039871.850566</v>
      </c>
      <c r="G114" s="311"/>
      <c r="H114" s="311"/>
      <c r="I114" s="311"/>
      <c r="J114" s="311"/>
      <c r="K114" s="311">
        <f t="shared" si="82"/>
        <v>185540883.791354</v>
      </c>
      <c r="L114" s="311">
        <f t="shared" si="82"/>
        <v>51371488.1171284</v>
      </c>
      <c r="M114" s="311"/>
      <c r="N114" s="311">
        <f t="shared" si="64"/>
        <v>99525210.8373848</v>
      </c>
      <c r="O114" s="370">
        <f t="shared" si="61"/>
        <v>-1337275.57231348</v>
      </c>
      <c r="P114" s="370" t="e">
        <f>#REF!</f>
        <v>#REF!</v>
      </c>
      <c r="Q114" s="311">
        <f t="shared" si="62"/>
        <v>-9318335.2</v>
      </c>
      <c r="R114" s="311">
        <f t="shared" si="65"/>
        <v>9394653.92384675</v>
      </c>
      <c r="S114" s="311">
        <f t="shared" si="66"/>
        <v>9394653.92384675</v>
      </c>
      <c r="T114" s="311" t="e">
        <f>#REF!</f>
        <v>#REF!</v>
      </c>
      <c r="U114" s="311">
        <f t="shared" si="67"/>
        <v>-7519216.97</v>
      </c>
      <c r="V114" s="311" t="e">
        <f>#REF!</f>
        <v>#REF!</v>
      </c>
      <c r="W114" s="311"/>
      <c r="X114" s="311"/>
      <c r="Y114" s="311"/>
      <c r="Z114" s="311"/>
      <c r="AA114" s="311" t="e">
        <f>#REF!</f>
        <v>#REF!</v>
      </c>
    </row>
    <row r="115" hidden="1" spans="1:27">
      <c r="A115" s="42" t="s">
        <v>48</v>
      </c>
      <c r="B115" s="311">
        <f t="shared" ref="B115:L115" si="83">B82</f>
        <v>5514986.33</v>
      </c>
      <c r="C115" s="311" t="e">
        <f>C82+#REF!</f>
        <v>#REF!</v>
      </c>
      <c r="D115" s="311">
        <f t="shared" si="83"/>
        <v>4155163.79</v>
      </c>
      <c r="E115" s="311">
        <f t="shared" si="83"/>
        <v>693400.66</v>
      </c>
      <c r="F115" s="311">
        <f t="shared" si="83"/>
        <v>0</v>
      </c>
      <c r="G115" s="311"/>
      <c r="H115" s="311"/>
      <c r="I115" s="311"/>
      <c r="J115" s="311"/>
      <c r="K115" s="311">
        <f t="shared" si="83"/>
        <v>0</v>
      </c>
      <c r="L115" s="311">
        <f t="shared" si="83"/>
        <v>0</v>
      </c>
      <c r="M115" s="311"/>
      <c r="N115" s="311">
        <f t="shared" si="64"/>
        <v>0</v>
      </c>
      <c r="O115" s="370">
        <f t="shared" si="61"/>
        <v>0</v>
      </c>
      <c r="P115" s="370" t="e">
        <f>#REF!</f>
        <v>#REF!</v>
      </c>
      <c r="Q115" s="311">
        <f t="shared" si="62"/>
        <v>2145.93</v>
      </c>
      <c r="R115" s="311">
        <f t="shared" si="65"/>
        <v>0</v>
      </c>
      <c r="S115" s="311">
        <f t="shared" si="66"/>
        <v>0</v>
      </c>
      <c r="T115" s="311" t="e">
        <f>#REF!</f>
        <v>#REF!</v>
      </c>
      <c r="U115" s="311">
        <f t="shared" ref="U115:U124" si="84">AA82</f>
        <v>0</v>
      </c>
      <c r="V115" s="311" t="e">
        <f>#REF!</f>
        <v>#REF!</v>
      </c>
      <c r="W115" s="311"/>
      <c r="X115" s="311"/>
      <c r="Y115" s="311"/>
      <c r="Z115" s="311"/>
      <c r="AA115" s="311" t="e">
        <f>#REF!</f>
        <v>#REF!</v>
      </c>
    </row>
    <row r="116" hidden="1" spans="1:27">
      <c r="A116" s="42" t="s">
        <v>49</v>
      </c>
      <c r="B116" s="311">
        <f t="shared" ref="B116:L116" si="85">B83</f>
        <v>10074373.77</v>
      </c>
      <c r="C116" s="311" t="e">
        <f>C83+#REF!</f>
        <v>#REF!</v>
      </c>
      <c r="D116" s="311">
        <f t="shared" si="85"/>
        <v>8765051.97</v>
      </c>
      <c r="E116" s="311">
        <f t="shared" si="85"/>
        <v>1278484.3</v>
      </c>
      <c r="F116" s="311">
        <f t="shared" si="85"/>
        <v>8337.5</v>
      </c>
      <c r="G116" s="311"/>
      <c r="H116" s="311"/>
      <c r="I116" s="311"/>
      <c r="J116" s="311"/>
      <c r="K116" s="311">
        <f t="shared" si="85"/>
        <v>22500</v>
      </c>
      <c r="L116" s="311">
        <f t="shared" si="85"/>
        <v>7500</v>
      </c>
      <c r="M116" s="311"/>
      <c r="N116" s="311">
        <f t="shared" si="64"/>
        <v>0</v>
      </c>
      <c r="O116" s="370">
        <f t="shared" si="61"/>
        <v>0</v>
      </c>
      <c r="P116" s="370" t="e">
        <f>#REF!</f>
        <v>#REF!</v>
      </c>
      <c r="Q116" s="311">
        <f t="shared" si="62"/>
        <v>2822.67</v>
      </c>
      <c r="R116" s="311">
        <f t="shared" si="65"/>
        <v>0</v>
      </c>
      <c r="S116" s="311">
        <f t="shared" si="66"/>
        <v>0</v>
      </c>
      <c r="T116" s="311" t="e">
        <f>#REF!</f>
        <v>#REF!</v>
      </c>
      <c r="U116" s="311">
        <f t="shared" si="84"/>
        <v>0</v>
      </c>
      <c r="V116" s="311" t="e">
        <f>#REF!</f>
        <v>#REF!</v>
      </c>
      <c r="W116" s="311"/>
      <c r="X116" s="311"/>
      <c r="Y116" s="311"/>
      <c r="Z116" s="311"/>
      <c r="AA116" s="311" t="e">
        <f>#REF!</f>
        <v>#REF!</v>
      </c>
    </row>
    <row r="117" hidden="1" spans="1:27">
      <c r="A117" s="44" t="s">
        <v>50</v>
      </c>
      <c r="B117" s="311">
        <f t="shared" ref="B117:L117" si="86">B84</f>
        <v>289394672.78</v>
      </c>
      <c r="C117" s="311" t="e">
        <f>C84+#REF!</f>
        <v>#REF!</v>
      </c>
      <c r="D117" s="311">
        <f t="shared" si="86"/>
        <v>-449667228.571279</v>
      </c>
      <c r="E117" s="311">
        <f t="shared" si="86"/>
        <v>617788887.388641</v>
      </c>
      <c r="F117" s="311">
        <f t="shared" si="86"/>
        <v>-271048209.350566</v>
      </c>
      <c r="G117" s="311"/>
      <c r="H117" s="311"/>
      <c r="I117" s="311"/>
      <c r="J117" s="311"/>
      <c r="K117" s="311">
        <f t="shared" si="86"/>
        <v>185518383.791354</v>
      </c>
      <c r="L117" s="311">
        <f t="shared" si="86"/>
        <v>51363988.1171284</v>
      </c>
      <c r="M117" s="311"/>
      <c r="N117" s="311">
        <f t="shared" si="64"/>
        <v>99525210.8373848</v>
      </c>
      <c r="O117" s="370">
        <f t="shared" si="61"/>
        <v>-1337275.57231348</v>
      </c>
      <c r="P117" s="370" t="e">
        <f>#REF!</f>
        <v>#REF!</v>
      </c>
      <c r="Q117" s="311">
        <f t="shared" si="62"/>
        <v>-9319011.94</v>
      </c>
      <c r="R117" s="311">
        <f t="shared" si="65"/>
        <v>9394653.92384675</v>
      </c>
      <c r="S117" s="311">
        <f t="shared" si="66"/>
        <v>9394653.92384675</v>
      </c>
      <c r="T117" s="311" t="e">
        <f>#REF!</f>
        <v>#REF!</v>
      </c>
      <c r="U117" s="311">
        <f t="shared" si="84"/>
        <v>-7519216.97</v>
      </c>
      <c r="V117" s="311" t="e">
        <f>#REF!</f>
        <v>#REF!</v>
      </c>
      <c r="W117" s="311"/>
      <c r="X117" s="311"/>
      <c r="Y117" s="311"/>
      <c r="Z117" s="311"/>
      <c r="AA117" s="311" t="e">
        <f>#REF!</f>
        <v>#REF!</v>
      </c>
    </row>
    <row r="118" hidden="1" spans="1:27">
      <c r="A118" s="42" t="s">
        <v>51</v>
      </c>
      <c r="B118" s="311">
        <f t="shared" ref="B118:L118" si="87">B85</f>
        <v>55974175.745</v>
      </c>
      <c r="C118" s="311" t="e">
        <f>C85+#REF!</f>
        <v>#REF!</v>
      </c>
      <c r="D118" s="311">
        <f t="shared" si="87"/>
        <v>106958786.67</v>
      </c>
      <c r="E118" s="311">
        <f t="shared" si="87"/>
        <v>793.9</v>
      </c>
      <c r="F118" s="311">
        <f t="shared" si="87"/>
        <v>0</v>
      </c>
      <c r="G118" s="311"/>
      <c r="H118" s="311"/>
      <c r="I118" s="311"/>
      <c r="J118" s="311"/>
      <c r="K118" s="311">
        <f t="shared" si="87"/>
        <v>0</v>
      </c>
      <c r="L118" s="311">
        <f t="shared" si="87"/>
        <v>0</v>
      </c>
      <c r="M118" s="311"/>
      <c r="N118" s="311">
        <f t="shared" si="64"/>
        <v>0</v>
      </c>
      <c r="O118" s="370">
        <f t="shared" si="61"/>
        <v>0</v>
      </c>
      <c r="P118" s="370" t="e">
        <f>#REF!</f>
        <v>#REF!</v>
      </c>
      <c r="Q118" s="311">
        <f t="shared" si="62"/>
        <v>0</v>
      </c>
      <c r="R118" s="311">
        <f t="shared" si="65"/>
        <v>0</v>
      </c>
      <c r="S118" s="311">
        <f t="shared" si="66"/>
        <v>0</v>
      </c>
      <c r="T118" s="311" t="e">
        <f>#REF!</f>
        <v>#REF!</v>
      </c>
      <c r="U118" s="311">
        <f t="shared" si="84"/>
        <v>0</v>
      </c>
      <c r="V118" s="311" t="e">
        <f>#REF!</f>
        <v>#REF!</v>
      </c>
      <c r="W118" s="311"/>
      <c r="X118" s="311"/>
      <c r="Y118" s="311"/>
      <c r="Z118" s="311"/>
      <c r="AA118" s="311" t="e">
        <f>#REF!</f>
        <v>#REF!</v>
      </c>
    </row>
    <row r="119" hidden="1" spans="1:27">
      <c r="A119" s="44" t="s">
        <v>52</v>
      </c>
      <c r="B119" s="311">
        <f t="shared" ref="B119:L119" si="88">B86</f>
        <v>233420497.035</v>
      </c>
      <c r="C119" s="311" t="e">
        <f>C86+#REF!</f>
        <v>#REF!</v>
      </c>
      <c r="D119" s="311">
        <f t="shared" si="88"/>
        <v>-556626015.241279</v>
      </c>
      <c r="E119" s="311">
        <f t="shared" si="88"/>
        <v>617788093.488642</v>
      </c>
      <c r="F119" s="311">
        <f t="shared" si="88"/>
        <v>-271048209.350566</v>
      </c>
      <c r="G119" s="311"/>
      <c r="H119" s="311"/>
      <c r="I119" s="311"/>
      <c r="J119" s="311"/>
      <c r="K119" s="311">
        <f t="shared" si="88"/>
        <v>185518383.791354</v>
      </c>
      <c r="L119" s="311">
        <f t="shared" si="88"/>
        <v>51363988.1171284</v>
      </c>
      <c r="M119" s="311"/>
      <c r="N119" s="311">
        <f t="shared" si="64"/>
        <v>99525210.8373848</v>
      </c>
      <c r="O119" s="370">
        <f t="shared" si="61"/>
        <v>-1337275.57231348</v>
      </c>
      <c r="P119" s="370" t="e">
        <f>#REF!</f>
        <v>#REF!</v>
      </c>
      <c r="Q119" s="311">
        <f t="shared" si="62"/>
        <v>-9319011.94</v>
      </c>
      <c r="R119" s="311">
        <f t="shared" si="65"/>
        <v>9394653.92384675</v>
      </c>
      <c r="S119" s="311">
        <f t="shared" si="66"/>
        <v>9394653.92384675</v>
      </c>
      <c r="T119" s="311" t="e">
        <f>#REF!</f>
        <v>#REF!</v>
      </c>
      <c r="U119" s="311">
        <f t="shared" si="84"/>
        <v>-7519216.97</v>
      </c>
      <c r="V119" s="311" t="e">
        <f>#REF!</f>
        <v>#REF!</v>
      </c>
      <c r="W119" s="311"/>
      <c r="X119" s="311"/>
      <c r="Y119" s="311"/>
      <c r="Z119" s="311"/>
      <c r="AA119" s="311" t="e">
        <f>#REF!</f>
        <v>#REF!</v>
      </c>
    </row>
    <row r="120" hidden="1" spans="1:27">
      <c r="A120" s="46" t="s">
        <v>53</v>
      </c>
      <c r="B120" s="311">
        <f t="shared" ref="B120:L120" si="89">B87</f>
        <v>0</v>
      </c>
      <c r="C120" s="311" t="e">
        <f>C87+#REF!</f>
        <v>#REF!</v>
      </c>
      <c r="D120" s="311">
        <f t="shared" si="89"/>
        <v>0</v>
      </c>
      <c r="E120" s="311">
        <f t="shared" si="89"/>
        <v>0</v>
      </c>
      <c r="F120" s="311">
        <f t="shared" si="89"/>
        <v>0</v>
      </c>
      <c r="G120" s="311"/>
      <c r="H120" s="311"/>
      <c r="I120" s="311"/>
      <c r="J120" s="311"/>
      <c r="K120" s="311">
        <f t="shared" si="89"/>
        <v>0</v>
      </c>
      <c r="L120" s="311">
        <f t="shared" si="89"/>
        <v>0</v>
      </c>
      <c r="M120" s="311"/>
      <c r="N120" s="311">
        <f t="shared" si="64"/>
        <v>0</v>
      </c>
      <c r="O120" s="370">
        <f t="shared" si="61"/>
        <v>0</v>
      </c>
      <c r="P120" s="370" t="e">
        <f>#REF!</f>
        <v>#REF!</v>
      </c>
      <c r="Q120" s="311">
        <f t="shared" si="62"/>
        <v>0</v>
      </c>
      <c r="R120" s="311">
        <f t="shared" si="65"/>
        <v>0</v>
      </c>
      <c r="S120" s="311">
        <f t="shared" si="66"/>
        <v>0</v>
      </c>
      <c r="T120" s="311" t="e">
        <f>#REF!</f>
        <v>#REF!</v>
      </c>
      <c r="U120" s="311">
        <f t="shared" si="84"/>
        <v>0</v>
      </c>
      <c r="V120" s="311" t="e">
        <f>#REF!</f>
        <v>#REF!</v>
      </c>
      <c r="W120" s="311"/>
      <c r="X120" s="311"/>
      <c r="Y120" s="311"/>
      <c r="Z120" s="311"/>
      <c r="AA120" s="311" t="e">
        <f>#REF!</f>
        <v>#REF!</v>
      </c>
    </row>
    <row r="121" ht="14.25" hidden="1" spans="1:27">
      <c r="A121" s="48" t="s">
        <v>54</v>
      </c>
      <c r="B121" s="311">
        <f t="shared" ref="B121:L121" si="90">B88</f>
        <v>233420497.035</v>
      </c>
      <c r="C121" s="311" t="e">
        <f>C88+#REF!</f>
        <v>#REF!</v>
      </c>
      <c r="D121" s="311">
        <f t="shared" si="90"/>
        <v>-556626015.241279</v>
      </c>
      <c r="E121" s="311">
        <f t="shared" si="90"/>
        <v>617788093.488641</v>
      </c>
      <c r="F121" s="311">
        <f t="shared" si="90"/>
        <v>-271048209.350566</v>
      </c>
      <c r="G121" s="311"/>
      <c r="H121" s="311"/>
      <c r="I121" s="311"/>
      <c r="J121" s="311"/>
      <c r="K121" s="311">
        <f t="shared" si="90"/>
        <v>185518383.791354</v>
      </c>
      <c r="L121" s="311">
        <f t="shared" si="90"/>
        <v>51363988.1171284</v>
      </c>
      <c r="M121" s="311"/>
      <c r="N121" s="311">
        <f t="shared" si="64"/>
        <v>99525210.8373848</v>
      </c>
      <c r="O121" s="370">
        <f t="shared" si="61"/>
        <v>-1337275.57231348</v>
      </c>
      <c r="P121" s="370" t="e">
        <f>#REF!</f>
        <v>#REF!</v>
      </c>
      <c r="Q121" s="311">
        <f t="shared" si="62"/>
        <v>-9319011.94</v>
      </c>
      <c r="R121" s="311">
        <f t="shared" si="65"/>
        <v>9394653.92384675</v>
      </c>
      <c r="S121" s="311">
        <f t="shared" si="66"/>
        <v>9394653.92384675</v>
      </c>
      <c r="T121" s="311" t="e">
        <f>#REF!</f>
        <v>#REF!</v>
      </c>
      <c r="U121" s="311">
        <f t="shared" si="84"/>
        <v>-7519216.97</v>
      </c>
      <c r="V121" s="311" t="e">
        <f>#REF!</f>
        <v>#REF!</v>
      </c>
      <c r="W121" s="311"/>
      <c r="X121" s="311"/>
      <c r="Y121" s="311"/>
      <c r="Z121" s="311"/>
      <c r="AA121" s="311" t="e">
        <f>#REF!</f>
        <v>#REF!</v>
      </c>
    </row>
    <row r="122" hidden="1" spans="1:27">
      <c r="A122" s="311"/>
      <c r="B122" s="311">
        <f t="shared" ref="B122:L122" si="91">B89</f>
        <v>0</v>
      </c>
      <c r="C122" s="311" t="e">
        <f>C89+#REF!</f>
        <v>#REF!</v>
      </c>
      <c r="D122" s="311">
        <f t="shared" si="91"/>
        <v>0</v>
      </c>
      <c r="E122" s="311">
        <f t="shared" si="91"/>
        <v>0</v>
      </c>
      <c r="F122" s="311">
        <f t="shared" si="91"/>
        <v>0</v>
      </c>
      <c r="G122" s="311"/>
      <c r="H122" s="311"/>
      <c r="I122" s="311"/>
      <c r="J122" s="311"/>
      <c r="K122" s="311">
        <f t="shared" si="91"/>
        <v>0</v>
      </c>
      <c r="L122" s="311">
        <f t="shared" si="91"/>
        <v>0</v>
      </c>
      <c r="M122" s="311"/>
      <c r="N122" s="311">
        <f t="shared" si="64"/>
        <v>0</v>
      </c>
      <c r="O122" s="370">
        <f t="shared" si="61"/>
        <v>0</v>
      </c>
      <c r="P122" s="370" t="e">
        <f>#REF!</f>
        <v>#REF!</v>
      </c>
      <c r="Q122" s="311">
        <f t="shared" si="62"/>
        <v>0</v>
      </c>
      <c r="R122" s="311">
        <f t="shared" si="65"/>
        <v>0</v>
      </c>
      <c r="S122" s="311">
        <f t="shared" si="66"/>
        <v>0</v>
      </c>
      <c r="T122" s="311" t="e">
        <f>#REF!</f>
        <v>#REF!</v>
      </c>
      <c r="U122" s="311">
        <f t="shared" si="84"/>
        <v>0</v>
      </c>
      <c r="V122" s="311" t="e">
        <f>#REF!</f>
        <v>#REF!</v>
      </c>
      <c r="W122" s="311"/>
      <c r="X122" s="311"/>
      <c r="Y122" s="311"/>
      <c r="Z122" s="311"/>
      <c r="AA122" s="311" t="e">
        <f>#REF!</f>
        <v>#REF!</v>
      </c>
    </row>
    <row r="123" hidden="1" spans="1:27">
      <c r="A123" s="52" t="s">
        <v>70</v>
      </c>
      <c r="B123" s="311">
        <f t="shared" ref="B123:L124" si="92">B90</f>
        <v>0</v>
      </c>
      <c r="C123" s="311" t="e">
        <f>C90+#REF!</f>
        <v>#REF!</v>
      </c>
      <c r="D123" s="311">
        <f t="shared" si="92"/>
        <v>0</v>
      </c>
      <c r="E123" s="311">
        <f t="shared" si="92"/>
        <v>289622844.20524</v>
      </c>
      <c r="F123" s="311">
        <f t="shared" si="92"/>
        <v>52890383.767</v>
      </c>
      <c r="G123" s="311"/>
      <c r="H123" s="311"/>
      <c r="I123" s="311"/>
      <c r="J123" s="311"/>
      <c r="K123" s="311">
        <f t="shared" si="92"/>
        <v>188437388.9424</v>
      </c>
      <c r="L123" s="311">
        <f t="shared" si="92"/>
        <v>39989602.82564</v>
      </c>
      <c r="M123" s="311"/>
      <c r="N123" s="311">
        <f t="shared" si="64"/>
        <v>103791969.53736</v>
      </c>
      <c r="O123" s="370">
        <f t="shared" si="61"/>
        <v>2761735.4804</v>
      </c>
      <c r="P123" s="370" t="e">
        <f>#REF!</f>
        <v>#REF!</v>
      </c>
      <c r="Q123" s="311">
        <f t="shared" si="62"/>
        <v>0</v>
      </c>
      <c r="R123" s="311">
        <f t="shared" si="65"/>
        <v>0</v>
      </c>
      <c r="S123" s="311">
        <f t="shared" si="66"/>
        <v>0</v>
      </c>
      <c r="T123" s="311" t="e">
        <f>#REF!</f>
        <v>#REF!</v>
      </c>
      <c r="U123" s="311">
        <f t="shared" si="84"/>
        <v>0</v>
      </c>
      <c r="V123" s="311" t="e">
        <f>#REF!</f>
        <v>#REF!</v>
      </c>
      <c r="W123" s="311"/>
      <c r="X123" s="311"/>
      <c r="Y123" s="311"/>
      <c r="Z123" s="311"/>
      <c r="AA123" s="311" t="e">
        <f>#REF!</f>
        <v>#REF!</v>
      </c>
    </row>
    <row r="124" ht="14.25" hidden="1" spans="1:27">
      <c r="A124" s="54" t="s">
        <v>76</v>
      </c>
      <c r="B124" s="311">
        <f>B91</f>
        <v>233420497.035</v>
      </c>
      <c r="C124" s="311" t="e">
        <f>C91+#REF!</f>
        <v>#REF!</v>
      </c>
      <c r="D124" s="311">
        <f t="shared" si="92"/>
        <v>-556626015.241279</v>
      </c>
      <c r="E124" s="311">
        <f t="shared" si="92"/>
        <v>328165249.283401</v>
      </c>
      <c r="F124" s="311">
        <f t="shared" si="92"/>
        <v>-323938593.117566</v>
      </c>
      <c r="G124" s="311"/>
      <c r="H124" s="311"/>
      <c r="I124" s="311"/>
      <c r="J124" s="311"/>
      <c r="K124" s="311">
        <f t="shared" si="92"/>
        <v>-2919005.15104628</v>
      </c>
      <c r="L124" s="311">
        <f t="shared" si="92"/>
        <v>11374385.2914884</v>
      </c>
      <c r="M124" s="311"/>
      <c r="N124" s="311">
        <f t="shared" si="64"/>
        <v>-4266758.69997522</v>
      </c>
      <c r="O124" s="370">
        <f t="shared" si="61"/>
        <v>-4099011.05271348</v>
      </c>
      <c r="P124" s="370" t="e">
        <f>#REF!</f>
        <v>#REF!</v>
      </c>
      <c r="Q124" s="311">
        <f t="shared" si="62"/>
        <v>-9319011.94</v>
      </c>
      <c r="R124" s="311">
        <f t="shared" si="65"/>
        <v>9394653.92384675</v>
      </c>
      <c r="S124" s="311">
        <f t="shared" si="66"/>
        <v>9394653.92384675</v>
      </c>
      <c r="T124" s="311" t="e">
        <f>#REF!</f>
        <v>#REF!</v>
      </c>
      <c r="U124" s="311">
        <f t="shared" si="84"/>
        <v>-7519216.97</v>
      </c>
      <c r="V124" s="311" t="e">
        <f>#REF!</f>
        <v>#REF!</v>
      </c>
      <c r="W124" s="311"/>
      <c r="X124" s="311"/>
      <c r="Y124" s="311"/>
      <c r="Z124" s="311"/>
      <c r="AA124" s="311" t="e">
        <f>#REF!</f>
        <v>#REF!</v>
      </c>
    </row>
    <row r="125" spans="2:28">
      <c r="B125" s="311"/>
      <c r="E125" s="311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370"/>
      <c r="Z125" s="370"/>
      <c r="AA125" s="370"/>
      <c r="AB125" s="370"/>
    </row>
    <row r="126" spans="2:25">
      <c r="B126" s="311">
        <f>B17-累计考核费用!C52</f>
        <v>0</v>
      </c>
      <c r="E126" s="311"/>
      <c r="L126" s="311"/>
      <c r="N126" s="311"/>
      <c r="T126" s="311">
        <f>T91-[12]累计利润调整表!$Q$90</f>
        <v>-132616.800000001</v>
      </c>
      <c r="U126" s="311">
        <f>U91-[12]累计利润调整表!$R$90</f>
        <v>-0.00947993993759155</v>
      </c>
      <c r="V126" s="311">
        <f>V91-[12]累计利润调整表!$S$90</f>
        <v>0</v>
      </c>
      <c r="W126" s="311">
        <f>W91-[12]累计利润调整表!$W$90</f>
        <v>4.65661287307739e-10</v>
      </c>
      <c r="X126" s="311">
        <f>X91-[12]累计利润调整表!$U$90</f>
        <v>0.182246604468673</v>
      </c>
      <c r="Y126" s="311">
        <f>Y91-[8]累计利润调整表!V90</f>
        <v>-0.468248696415685</v>
      </c>
    </row>
    <row r="127" spans="2:17">
      <c r="B127" s="311"/>
      <c r="O127" s="318">
        <f>O91-[2]累计利润调整表!$O$91</f>
        <v>46724.1500000022</v>
      </c>
      <c r="P127" s="318">
        <f>P91-[2]累计利润调整表!$P$91</f>
        <v>-535313.699999998</v>
      </c>
      <c r="Q127" s="318">
        <f>Q91-[2]累计利润调整表!$Q$91</f>
        <v>-39326.7130250079</v>
      </c>
    </row>
    <row r="128" spans="12:12">
      <c r="L128" s="311"/>
    </row>
    <row r="129" spans="12:12">
      <c r="L129" s="311"/>
    </row>
  </sheetData>
  <mergeCells count="1">
    <mergeCell ref="A1:AA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B184"/>
  <sheetViews>
    <sheetView workbookViewId="0">
      <pane xSplit="2" ySplit="1" topLeftCell="R2" activePane="bottomRight" state="frozen"/>
      <selection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="1" customFormat="1" customHeight="1" spans="1:28">
      <c r="A1" s="4" t="s">
        <v>89</v>
      </c>
      <c r="B1" s="5" t="s">
        <v>90</v>
      </c>
      <c r="C1" s="4" t="s">
        <v>90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9</v>
      </c>
      <c r="I1" s="6" t="s">
        <v>13</v>
      </c>
      <c r="J1" s="32" t="s">
        <v>78</v>
      </c>
      <c r="K1" s="32" t="s">
        <v>18</v>
      </c>
      <c r="L1" s="32" t="s">
        <v>17</v>
      </c>
      <c r="M1" s="32" t="s">
        <v>16</v>
      </c>
      <c r="N1" s="32" t="s">
        <v>79</v>
      </c>
      <c r="O1" s="32" t="s">
        <v>80</v>
      </c>
      <c r="P1" s="32" t="s">
        <v>20</v>
      </c>
      <c r="Q1" s="32" t="s">
        <v>645</v>
      </c>
      <c r="R1" s="6" t="s">
        <v>81</v>
      </c>
      <c r="S1" s="6" t="s">
        <v>21</v>
      </c>
      <c r="T1" s="32" t="s">
        <v>83</v>
      </c>
      <c r="U1" s="32" t="s">
        <v>82</v>
      </c>
      <c r="V1" s="32" t="s">
        <v>647</v>
      </c>
      <c r="W1" s="32" t="s">
        <v>157</v>
      </c>
      <c r="X1" s="6" t="s">
        <v>85</v>
      </c>
      <c r="Y1" s="32" t="s">
        <v>86</v>
      </c>
      <c r="Z1" s="32" t="s">
        <v>164</v>
      </c>
      <c r="AA1" s="6" t="s">
        <v>158</v>
      </c>
      <c r="AB1" s="6" t="s">
        <v>159</v>
      </c>
    </row>
    <row r="2" s="2" customFormat="1" customHeight="1" spans="1:28">
      <c r="A2" s="7" t="s">
        <v>91</v>
      </c>
      <c r="B2" s="8" t="s">
        <v>92</v>
      </c>
      <c r="C2" s="8" t="s">
        <v>92</v>
      </c>
      <c r="D2" s="9">
        <f>SUMIF(累计考核费用!$B$107:$B$156,原格式费用考核表!$B2,累计考核费用!C$107:C$156)/10000+累计考核费用!C116/10000</f>
        <v>22207.430835</v>
      </c>
      <c r="E2" s="9">
        <f>SUMIF(累计考核费用!$B$107:$B$156,原格式费用考核表!$B2,累计考核费用!D$107:D$156)/10000+累计考核费用!D116/10000</f>
        <v>800</v>
      </c>
      <c r="F2" s="9">
        <f>SUMIF(累计考核费用!$B$107:$B$156,原格式费用考核表!$B2,累计考核费用!E$107:E$156)/10000+累计考核费用!E116/10000</f>
        <v>7078.375272</v>
      </c>
      <c r="G2" s="9">
        <f>SUMIF(累计考核费用!$B$107:$B$156,原格式费用考核表!$B2,累计考核费用!F$107:F$156)/10000+累计考核费用!F116/10000</f>
        <v>10084.680465</v>
      </c>
      <c r="H2" s="9">
        <f>SUMIF(累计考核费用!$B$107:$B$156,原格式费用考核表!$B2,累计考核费用!G$107:G$156)/10000+累计考核费用!G116/10000</f>
        <v>702.489544</v>
      </c>
      <c r="I2" s="9">
        <f>SUMIF(累计考核费用!$B$107:$B$156,原格式费用考核表!$B2,累计考核费用!L$107:L$156)/10000+累计考核费用!L116/10000</f>
        <v>1175.740825</v>
      </c>
      <c r="J2" s="9">
        <f>SUMIF(累计考核费用!$B$107:$B$156,原格式费用考核表!$B2,累计考核费用!M$107:M$156)/10000+累计考核费用!M116/10000</f>
        <v>101.546725</v>
      </c>
      <c r="K2" s="9">
        <f>SUMIF(累计考核费用!$B$107:$B$156,原格式费用考核表!$B2,累计考核费用!Q$107:Q$156)/10000+累计考核费用!Q116/10000</f>
        <v>203.354669</v>
      </c>
      <c r="L2" s="9">
        <f>SUMIF(累计考核费用!$B$107:$B$156,原格式费用考核表!$B2,累计考核费用!P$107:P$156)/10000+累计考核费用!P116/10000</f>
        <v>392.272555</v>
      </c>
      <c r="M2" s="9">
        <f>SUMIF(累计考核费用!$B$107:$B$156,原格式费用考核表!$B2,累计考核费用!O$107:O$156)/10000+累计考核费用!O116/10000</f>
        <v>68.83429</v>
      </c>
      <c r="N2" s="9">
        <f>SUMIF(累计考核费用!$B$107:$B$156,原格式费用考核表!$B2,累计考核费用!R$107:R$156)/10000+累计考核费用!R116/10000</f>
        <v>228.306253</v>
      </c>
      <c r="O2" s="9" t="e">
        <f ca="1">SUMIF(累计考核费用!$B$107:$B$156,原格式费用考核表!$B2,累计考核费用!#REF!)/10000+累计考核费用!#REF!/10000</f>
        <v>#REF!</v>
      </c>
      <c r="P2" s="9">
        <f>SUMIF(累计考核费用!$B$107:$B$156,原格式费用考核表!$B2,累计考核费用!S$107:S$156)/10000+累计考核费用!S116/10000</f>
        <v>217.262606</v>
      </c>
      <c r="Q2" s="9" t="e">
        <f ca="1">SUMIF(累计考核费用!$B$107:$B$156,原格式费用考核表!$B2,累计考核费用!#REF!)/10000+累计考核费用!#REF!/10000</f>
        <v>#REF!</v>
      </c>
      <c r="R2" s="9">
        <f>SUMIF(累计考核费用!$B$107:$B$156,原格式费用考核表!$B2,累计考核费用!T$107:T$156)/10000+累计考核费用!T116/10000</f>
        <v>2366.144729</v>
      </c>
      <c r="S2" s="9">
        <f>SUMIF(累计考核费用!$B$107:$B$156,原格式费用考核表!$B2,累计考核费用!U$107:U$156)/10000+累计考核费用!U116/10000</f>
        <v>440.951279</v>
      </c>
      <c r="T2" s="9" t="e">
        <f ca="1">SUMIF(累计考核费用!$B$107:$B$156,原格式费用考核表!$B2,累计考核费用!#REF!)/10000+累计考核费用!#REF!/10000</f>
        <v>#REF!</v>
      </c>
      <c r="U2" s="9">
        <f>SUMIF(累计考核费用!$B$107:$B$156,原格式费用考核表!$B2,累计考核费用!V$107:V$156)/10000+累计考核费用!V116/10000</f>
        <v>777.843488</v>
      </c>
      <c r="V2" s="9">
        <f>SUMIF(累计考核费用!$B$107:$B$156,原格式费用考核表!$B2,累计考核费用!W$107:W$156)/10000+累计考核费用!W116/10000</f>
        <v>816.824107</v>
      </c>
      <c r="W2" s="9">
        <f>SUMIF(累计考核费用!$B$107:$B$156,原格式费用考核表!$B2,累计考核费用!AB$107:AB$156)/10000+累计考核费用!AB116/10000</f>
        <v>480.251835</v>
      </c>
      <c r="X2" s="9" t="e">
        <f ca="1">SUMIF(累计考核费用!$B$107:$B$156,原格式费用考核表!$B2,累计考核费用!#REF!)/10000+累计考核费用!#REF!/10000</f>
        <v>#REF!</v>
      </c>
      <c r="Y2" s="9" t="e">
        <f ca="1">SUMIF(累计考核费用!$B$107:$B$156,原格式费用考核表!$B2,累计考核费用!#REF!)/10000+累计考核费用!#REF!/10000</f>
        <v>#REF!</v>
      </c>
      <c r="Z2" s="9" t="e">
        <f ca="1">SUMIF(累计考核费用!$B$107:$B$156,原格式费用考核表!$B2,累计考核费用!#REF!)/10000+累计考核费用!#REF!/10000</f>
        <v>#REF!</v>
      </c>
      <c r="AA2" s="9">
        <f>SUMIF(累计考核费用!$B$107:$B$156,原格式费用考核表!$B2,累计考核费用!AC$107:AC$156)/10000+累计考核费用!AC116/10000</f>
        <v>534.100106</v>
      </c>
      <c r="AB2" s="9" t="e">
        <f ca="1">SUMIF(累计考核费用!$B$107:$B$156,原格式费用考核表!$B2,累计考核费用!#REF!)/10000+累计考核费用!#REF!/10000</f>
        <v>#REF!</v>
      </c>
    </row>
    <row r="3" s="2" customFormat="1" customHeight="1" spans="1:28">
      <c r="A3" s="10"/>
      <c r="B3" s="8" t="s">
        <v>93</v>
      </c>
      <c r="C3" s="8" t="s">
        <v>93</v>
      </c>
      <c r="D3" s="9">
        <f>SUMIF(累计考核费用!$B$107:$B$156,原格式费用考核表!$B3,累计考核费用!C$107:C$156)/10000</f>
        <v>375.741506</v>
      </c>
      <c r="E3" s="9">
        <f>SUMIF(累计考核费用!$B$107:$B$156,原格式费用考核表!$B3,累计考核费用!D$107:D$156)/10000</f>
        <v>0</v>
      </c>
      <c r="F3" s="9">
        <f>SUMIF(累计考核费用!$B$107:$B$156,原格式费用考核表!$B3,累计考核费用!E$107:E$156)/10000</f>
        <v>166.181544</v>
      </c>
      <c r="G3" s="9">
        <f>SUMIF(累计考核费用!$B$107:$B$156,原格式费用考核表!$B3,累计考核费用!F$107:F$156)/10000</f>
        <v>147.365251</v>
      </c>
      <c r="H3" s="9">
        <f>SUMIF(累计考核费用!$B$107:$B$156,原格式费用考核表!$B3,累计考核费用!G$107:G$156)/10000</f>
        <v>7.367518</v>
      </c>
      <c r="I3" s="9">
        <f>SUMIF(累计考核费用!$B$107:$B$156,原格式费用考核表!$B3,累计考核费用!L$107:L$156)/10000</f>
        <v>5.477213</v>
      </c>
      <c r="J3" s="9">
        <f>SUMIF(累计考核费用!$B$107:$B$156,原格式费用考核表!$B3,累计考核费用!M$107:M$156)/10000</f>
        <v>0.653</v>
      </c>
      <c r="K3" s="9">
        <f>SUMIF(累计考核费用!$B$107:$B$156,原格式费用考核表!$B3,累计考核费用!Q$107:Q$156)/10000</f>
        <v>1.458367</v>
      </c>
      <c r="L3" s="9">
        <f>SUMIF(累计考核费用!$B$107:$B$156,原格式费用考核表!$B3,累计考核费用!P$107:P$156)/10000</f>
        <v>2.54826</v>
      </c>
      <c r="M3" s="9">
        <f>SUMIF(累计考核费用!$B$107:$B$156,原格式费用考核表!$B3,累计考核费用!O$107:O$156)/10000</f>
        <v>0.163</v>
      </c>
      <c r="N3" s="9">
        <f>SUMIF(累计考核费用!$B$107:$B$156,原格式费用考核表!$B3,累计考核费用!R$107:R$156)/10000</f>
        <v>0.315086</v>
      </c>
      <c r="O3" s="9" t="e">
        <f ca="1">SUMIF(累计考核费用!$B$107:$B$156,原格式费用考核表!$B3,累计考核费用!#REF!)/10000</f>
        <v>#REF!</v>
      </c>
      <c r="P3" s="9">
        <f>SUMIF(累计考核费用!$B$107:$B$156,原格式费用考核表!$B3,累计考核费用!S$107:S$156)/10000</f>
        <v>4.94809</v>
      </c>
      <c r="Q3" s="9" t="e">
        <f ca="1">SUMIF(累计考核费用!$B$107:$B$156,原格式费用考核表!$B3,累计考核费用!#REF!)/10000</f>
        <v>#REF!</v>
      </c>
      <c r="R3" s="9">
        <f>SUMIF(累计考核费用!$B$107:$B$156,原格式费用考核表!$B3,累计考核费用!T$107:T$156)/10000</f>
        <v>49.34998</v>
      </c>
      <c r="S3" s="9">
        <f>SUMIF(累计考核费用!$B$107:$B$156,原格式费用考核表!$B3,累计考核费用!U$107:U$156)/10000</f>
        <v>11.564341</v>
      </c>
      <c r="T3" s="9" t="e">
        <f ca="1">SUMIF(累计考核费用!$B$107:$B$156,原格式费用考核表!$B3,累计考核费用!#REF!)/10000</f>
        <v>#REF!</v>
      </c>
      <c r="U3" s="9">
        <f>SUMIF(累计考核费用!$B$107:$B$156,原格式费用考核表!$B3,累计考核费用!V$107:V$156)/10000</f>
        <v>23.956396</v>
      </c>
      <c r="V3" s="9">
        <f>SUMIF(累计考核费用!$B$107:$B$156,原格式费用考核表!$B3,累计考核费用!W$107:W$156)/10000</f>
        <v>11.739412</v>
      </c>
      <c r="W3" s="9">
        <f>SUMIF(累计考核费用!$B$107:$B$156,原格式费用考核表!$B3,累计考核费用!AB$107:AB$156)/10000</f>
        <v>17.163986</v>
      </c>
      <c r="X3" s="9" t="e">
        <f ca="1">SUMIF(累计考核费用!$B$107:$B$156,原格式费用考核表!$B3,累计考核费用!#REF!)/10000</f>
        <v>#REF!</v>
      </c>
      <c r="Y3" s="9" t="e">
        <f ca="1">SUMIF(累计考核费用!$B$107:$B$156,原格式费用考核表!$B3,累计考核费用!#REF!)/10000</f>
        <v>#REF!</v>
      </c>
      <c r="Z3" s="9" t="e">
        <f ca="1">SUMIF(累计考核费用!$B$107:$B$156,原格式费用考核表!$B3,累计考核费用!#REF!)/10000</f>
        <v>#REF!</v>
      </c>
      <c r="AA3" s="9">
        <f>SUMIF(累计考核费用!$B$107:$B$156,原格式费用考核表!$B3,累计考核费用!AC$107:AC$156)/10000</f>
        <v>15.797</v>
      </c>
      <c r="AB3" s="9" t="e">
        <f ca="1">SUMIF(累计考核费用!$B$107:$B$156,原格式费用考核表!$B3,累计考核费用!#REF!)/10000</f>
        <v>#REF!</v>
      </c>
    </row>
    <row r="4" s="2" customFormat="1" customHeight="1" spans="1:28">
      <c r="A4" s="10"/>
      <c r="B4" s="8" t="s">
        <v>94</v>
      </c>
      <c r="C4" s="8" t="s">
        <v>94</v>
      </c>
      <c r="D4" s="9">
        <f>SUMIF(累计考核费用!$B$107:$B$156,原格式费用考核表!$B4,累计考核费用!C$107:C$156)/10000</f>
        <v>703.14091</v>
      </c>
      <c r="E4" s="9">
        <f>SUMIF(累计考核费用!$B$107:$B$156,原格式费用考核表!$B4,累计考核费用!D$107:D$156)/10000</f>
        <v>0</v>
      </c>
      <c r="F4" s="9">
        <f>SUMIF(累计考核费用!$B$107:$B$156,原格式费用考核表!$B4,累计考核费用!E$107:E$156)/10000</f>
        <v>112.436113</v>
      </c>
      <c r="G4" s="9">
        <f>SUMIF(累计考核费用!$B$107:$B$156,原格式费用考核表!$B4,累计考核费用!F$107:F$156)/10000</f>
        <v>347.732694</v>
      </c>
      <c r="H4" s="9">
        <f>SUMIF(累计考核费用!$B$107:$B$156,原格式费用考核表!$B4,累计考核费用!G$107:G$156)/10000</f>
        <v>14.233536</v>
      </c>
      <c r="I4" s="9">
        <f>SUMIF(累计考核费用!$B$107:$B$156,原格式费用考核表!$B4,累计考核费用!L$107:L$156)/10000</f>
        <v>23.855294</v>
      </c>
      <c r="J4" s="9">
        <f>SUMIF(累计考核费用!$B$107:$B$156,原格式费用考核表!$B4,累计考核费用!M$107:M$156)/10000</f>
        <v>2.015492</v>
      </c>
      <c r="K4" s="9">
        <f>SUMIF(累计考核费用!$B$107:$B$156,原格式费用考核表!$B4,累计考核费用!Q$107:Q$156)/10000</f>
        <v>4.130092</v>
      </c>
      <c r="L4" s="9">
        <f>SUMIF(累计考核费用!$B$107:$B$156,原格式费用考核表!$B4,累计考核费用!P$107:P$156)/10000</f>
        <v>7.960452</v>
      </c>
      <c r="M4" s="9">
        <f>SUMIF(累计考核费用!$B$107:$B$156,原格式费用考核表!$B4,累计考核费用!O$107:O$156)/10000</f>
        <v>1.399365</v>
      </c>
      <c r="N4" s="9">
        <f>SUMIF(累计考核费用!$B$107:$B$156,原格式费用考核表!$B4,累计考核费用!R$107:R$156)/10000</f>
        <v>4.639765</v>
      </c>
      <c r="O4" s="9" t="e">
        <f ca="1">SUMIF(累计考核费用!$B$107:$B$156,原格式费用考核表!$B4,累计考核费用!#REF!)/10000</f>
        <v>#REF!</v>
      </c>
      <c r="P4" s="9">
        <f>SUMIF(累计考核费用!$B$107:$B$156,原格式费用考核表!$B4,累计考核费用!S$107:S$156)/10000</f>
        <v>3.549923</v>
      </c>
      <c r="Q4" s="9" t="e">
        <f ca="1">SUMIF(累计考核费用!$B$107:$B$156,原格式费用考核表!$B4,累计考核费用!#REF!)/10000</f>
        <v>#REF!</v>
      </c>
      <c r="R4" s="9">
        <f>SUMIF(累计考核费用!$B$107:$B$156,原格式费用考核表!$B4,累计考核费用!T$107:T$156)/10000</f>
        <v>204.883273</v>
      </c>
      <c r="S4" s="9">
        <f>SUMIF(累计考核费用!$B$107:$B$156,原格式费用考核表!$B4,累计考核费用!U$107:U$156)/10000</f>
        <v>11.952069</v>
      </c>
      <c r="T4" s="9" t="e">
        <f ca="1">SUMIF(累计考核费用!$B$107:$B$156,原格式费用考核表!$B4,累计考核费用!#REF!)/10000</f>
        <v>#REF!</v>
      </c>
      <c r="U4" s="9">
        <f>SUMIF(累计考核费用!$B$107:$B$156,原格式费用考核表!$B4,累计考核费用!V$107:V$156)/10000</f>
        <v>154.494118</v>
      </c>
      <c r="V4" s="9">
        <f>SUMIF(累计考核费用!$B$107:$B$156,原格式费用考核表!$B4,累计考核费用!W$107:W$156)/10000</f>
        <v>32.656375</v>
      </c>
      <c r="W4" s="9">
        <f>SUMIF(累计考核费用!$B$107:$B$156,原格式费用考核表!$B4,累计考核费用!AB$107:AB$156)/10000</f>
        <v>6.539864</v>
      </c>
      <c r="X4" s="9" t="e">
        <f ca="1">SUMIF(累计考核费用!$B$107:$B$156,原格式费用考核表!$B4,累计考核费用!#REF!)/10000</f>
        <v>#REF!</v>
      </c>
      <c r="Y4" s="9" t="e">
        <f ca="1">SUMIF(累计考核费用!$B$107:$B$156,原格式费用考核表!$B4,累计考核费用!#REF!)/10000</f>
        <v>#REF!</v>
      </c>
      <c r="Z4" s="9" t="e">
        <f ca="1">SUMIF(累计考核费用!$B$107:$B$156,原格式费用考核表!$B4,累计考核费用!#REF!)/10000</f>
        <v>#REF!</v>
      </c>
      <c r="AA4" s="9">
        <f>SUMIF(累计考核费用!$B$107:$B$156,原格式费用考核表!$B4,累计考核费用!AC$107:AC$156)/10000</f>
        <v>8.574468</v>
      </c>
      <c r="AB4" s="9" t="e">
        <f ca="1">SUMIF(累计考核费用!$B$107:$B$156,原格式费用考核表!$B4,累计考核费用!#REF!)/10000</f>
        <v>#REF!</v>
      </c>
    </row>
    <row r="5" s="2" customFormat="1" customHeight="1" spans="1:28">
      <c r="A5" s="10"/>
      <c r="B5" s="8" t="s">
        <v>96</v>
      </c>
      <c r="C5" s="8" t="s">
        <v>95</v>
      </c>
      <c r="D5" s="9">
        <f>SUMIF(累计考核费用!$B$107:$B$156,原格式费用考核表!$B5,累计考核费用!C$107:C$156)/10000</f>
        <v>6082.330046</v>
      </c>
      <c r="E5" s="9">
        <f>SUMIF(累计考核费用!$B$107:$B$156,原格式费用考核表!$B5,累计考核费用!D$107:D$156)/10000</f>
        <v>0</v>
      </c>
      <c r="F5" s="9">
        <f>SUMIF(累计考核费用!$B$107:$B$156,原格式费用考核表!$B5,累计考核费用!E$107:E$156)/10000</f>
        <v>1808.24122</v>
      </c>
      <c r="G5" s="9">
        <f>SUMIF(累计考核费用!$B$107:$B$156,原格式费用考核表!$B5,累计考核费用!F$107:F$156)/10000</f>
        <v>3115.160378</v>
      </c>
      <c r="H5" s="9">
        <f>SUMIF(累计考核费用!$B$107:$B$156,原格式费用考核表!$B5,累计考核费用!G$107:G$156)/10000</f>
        <v>188.770223</v>
      </c>
      <c r="I5" s="9">
        <f>SUMIF(累计考核费用!$B$107:$B$156,原格式费用考核表!$B5,累计考核费用!L$107:L$156)/10000</f>
        <v>260.772757</v>
      </c>
      <c r="J5" s="9">
        <f>SUMIF(累计考核费用!$B$107:$B$156,原格式费用考核表!$B5,累计考核费用!M$107:M$156)/10000</f>
        <v>17.38516</v>
      </c>
      <c r="K5" s="9">
        <f>SUMIF(累计考核费用!$B$107:$B$156,原格式费用考核表!$B5,累计考核费用!Q$107:Q$156)/10000</f>
        <v>45.938196</v>
      </c>
      <c r="L5" s="9">
        <f>SUMIF(累计考核费用!$B$107:$B$156,原格式费用考核表!$B5,累计考核费用!P$107:P$156)/10000</f>
        <v>95.346284</v>
      </c>
      <c r="M5" s="9">
        <f>SUMIF(累计考核费用!$B$107:$B$156,原格式费用考核表!$B5,累计考核费用!O$107:O$156)/10000</f>
        <v>13.55752</v>
      </c>
      <c r="N5" s="9">
        <f>SUMIF(累计考核费用!$B$107:$B$156,原格式费用考核表!$B5,累计考核费用!R$107:R$156)/10000</f>
        <v>44.590633</v>
      </c>
      <c r="O5" s="9" t="e">
        <f ca="1">SUMIF(累计考核费用!$B$107:$B$156,原格式费用考核表!$B5,累计考核费用!#REF!)/10000</f>
        <v>#REF!</v>
      </c>
      <c r="P5" s="9">
        <f>SUMIF(累计考核费用!$B$107:$B$156,原格式费用考核表!$B5,累计考核费用!S$107:S$156)/10000</f>
        <v>43.745043</v>
      </c>
      <c r="Q5" s="9" t="e">
        <f ca="1">SUMIF(累计考核费用!$B$107:$B$156,原格式费用考核表!$B5,累计考核费用!#REF!)/10000</f>
        <v>#REF!</v>
      </c>
      <c r="R5" s="9">
        <f>SUMIF(累计考核费用!$B$107:$B$156,原格式费用考核表!$B5,累计考核费用!T$107:T$156)/10000</f>
        <v>709.385468</v>
      </c>
      <c r="S5" s="9">
        <f>SUMIF(累计考核费用!$B$107:$B$156,原格式费用考核表!$B5,累计考核费用!U$107:U$156)/10000</f>
        <v>146.337128</v>
      </c>
      <c r="T5" s="9" t="e">
        <f ca="1">SUMIF(累计考核费用!$B$107:$B$156,原格式费用考核表!$B5,累计考核费用!#REF!)/10000</f>
        <v>#REF!</v>
      </c>
      <c r="U5" s="9">
        <f>SUMIF(累计考核费用!$B$107:$B$156,原格式费用考核表!$B5,累计考核费用!V$107:V$156)/10000</f>
        <v>242.179067</v>
      </c>
      <c r="V5" s="9">
        <f>SUMIF(累计考核费用!$B$107:$B$156,原格式费用考核表!$B5,累计考核费用!W$107:W$156)/10000</f>
        <v>219.212024</v>
      </c>
      <c r="W5" s="9">
        <f>SUMIF(累计考核费用!$B$107:$B$156,原格式费用考核表!$B5,累计考核费用!AB$107:AB$156)/10000</f>
        <v>100.576426</v>
      </c>
      <c r="X5" s="9" t="e">
        <f ca="1">SUMIF(累计考核费用!$B$107:$B$156,原格式费用考核表!$B5,累计考核费用!#REF!)/10000</f>
        <v>#REF!</v>
      </c>
      <c r="Y5" s="9" t="e">
        <f ca="1">SUMIF(累计考核费用!$B$107:$B$156,原格式费用考核表!$B5,累计考核费用!#REF!)/10000</f>
        <v>#REF!</v>
      </c>
      <c r="Z5" s="9" t="e">
        <f ca="1">SUMIF(累计考核费用!$B$107:$B$156,原格式费用考核表!$B5,累计考核费用!#REF!)/10000</f>
        <v>#REF!</v>
      </c>
      <c r="AA5" s="9">
        <f>SUMIF(累计考核费用!$B$107:$B$156,原格式费用考核表!$B5,累计考核费用!AC$107:AC$156)/10000</f>
        <v>155.359099</v>
      </c>
      <c r="AB5" s="9" t="e">
        <f ca="1">SUMIF(累计考核费用!$B$107:$B$156,原格式费用考核表!$B5,累计考核费用!#REF!)/10000</f>
        <v>#REF!</v>
      </c>
    </row>
    <row r="6" s="2" customFormat="1" customHeight="1" spans="1:28">
      <c r="A6" s="10"/>
      <c r="B6" s="8" t="s">
        <v>97</v>
      </c>
      <c r="C6" s="8" t="s">
        <v>96</v>
      </c>
      <c r="D6" s="9">
        <f>SUMIF(累计考核费用!$B$107:$B$156,原格式费用考核表!$B6,累计考核费用!C$107:C$156)/10000</f>
        <v>35.974437</v>
      </c>
      <c r="E6" s="9">
        <f>SUMIF(累计考核费用!$B$107:$B$156,原格式费用考核表!$B6,累计考核费用!D$107:D$156)/10000</f>
        <v>0</v>
      </c>
      <c r="F6" s="9">
        <f>SUMIF(累计考核费用!$B$107:$B$156,原格式费用考核表!$B6,累计考核费用!E$107:E$156)/10000</f>
        <v>20</v>
      </c>
      <c r="G6" s="9">
        <f>SUMIF(累计考核费用!$B$107:$B$156,原格式费用考核表!$B6,累计考核费用!F$107:F$156)/10000</f>
        <v>11.2749</v>
      </c>
      <c r="H6" s="9">
        <f>SUMIF(累计考核费用!$B$107:$B$156,原格式费用考核表!$B6,累计考核费用!G$107:G$156)/10000</f>
        <v>4.699537</v>
      </c>
      <c r="I6" s="9">
        <f>SUMIF(累计考核费用!$B$107:$B$156,原格式费用考核表!$B6,累计考核费用!L$107:L$156)/10000</f>
        <v>0</v>
      </c>
      <c r="J6" s="9">
        <f>SUMIF(累计考核费用!$B$107:$B$156,原格式费用考核表!$B6,累计考核费用!M$107:M$156)/10000</f>
        <v>0</v>
      </c>
      <c r="K6" s="9">
        <f>SUMIF(累计考核费用!$B$107:$B$156,原格式费用考核表!$B6,累计考核费用!Q$107:Q$156)/10000</f>
        <v>0</v>
      </c>
      <c r="L6" s="9">
        <f>SUMIF(累计考核费用!$B$107:$B$156,原格式费用考核表!$B6,累计考核费用!P$107:P$156)/10000</f>
        <v>0</v>
      </c>
      <c r="M6" s="9">
        <f>SUMIF(累计考核费用!$B$107:$B$156,原格式费用考核表!$B6,累计考核费用!O$107:O$156)/10000</f>
        <v>0</v>
      </c>
      <c r="N6" s="9">
        <f>SUMIF(累计考核费用!$B$107:$B$156,原格式费用考核表!$B6,累计考核费用!R$107:R$156)/10000</f>
        <v>0</v>
      </c>
      <c r="O6" s="9" t="e">
        <f ca="1">SUMIF(累计考核费用!$B$107:$B$156,原格式费用考核表!$B6,累计考核费用!#REF!)/10000</f>
        <v>#REF!</v>
      </c>
      <c r="P6" s="9">
        <f>SUMIF(累计考核费用!$B$107:$B$156,原格式费用考核表!$B6,累计考核费用!S$107:S$156)/10000</f>
        <v>0</v>
      </c>
      <c r="Q6" s="9" t="e">
        <f ca="1">SUMIF(累计考核费用!$B$107:$B$156,原格式费用考核表!$B6,累计考核费用!#REF!)/10000</f>
        <v>#REF!</v>
      </c>
      <c r="R6" s="9">
        <f>SUMIF(累计考核费用!$B$107:$B$156,原格式费用考核表!$B6,累计考核费用!T$107:T$156)/10000</f>
        <v>0</v>
      </c>
      <c r="S6" s="9">
        <f>SUMIF(累计考核费用!$B$107:$B$156,原格式费用考核表!$B6,累计考核费用!U$107:U$156)/10000</f>
        <v>0</v>
      </c>
      <c r="T6" s="9" t="e">
        <f ca="1">SUMIF(累计考核费用!$B$107:$B$156,原格式费用考核表!$B6,累计考核费用!#REF!)/10000</f>
        <v>#REF!</v>
      </c>
      <c r="U6" s="9">
        <f>SUMIF(累计考核费用!$B$107:$B$156,原格式费用考核表!$B6,累计考核费用!V$107:V$156)/10000</f>
        <v>0</v>
      </c>
      <c r="V6" s="9">
        <f>SUMIF(累计考核费用!$B$107:$B$156,原格式费用考核表!$B6,累计考核费用!W$107:W$156)/10000</f>
        <v>0</v>
      </c>
      <c r="W6" s="9">
        <f>SUMIF(累计考核费用!$B$107:$B$156,原格式费用考核表!$B6,累计考核费用!AB$107:AB$156)/10000</f>
        <v>0</v>
      </c>
      <c r="X6" s="9" t="e">
        <f ca="1">SUMIF(累计考核费用!$B$107:$B$156,原格式费用考核表!$B6,累计考核费用!#REF!)/10000</f>
        <v>#REF!</v>
      </c>
      <c r="Y6" s="9" t="e">
        <f ca="1">SUMIF(累计考核费用!$B$107:$B$156,原格式费用考核表!$B6,累计考核费用!#REF!)/10000</f>
        <v>#REF!</v>
      </c>
      <c r="Z6" s="9" t="e">
        <f ca="1">SUMIF(累计考核费用!$B$107:$B$156,原格式费用考核表!$B6,累计考核费用!#REF!)/10000</f>
        <v>#REF!</v>
      </c>
      <c r="AA6" s="9">
        <f>SUMIF(累计考核费用!$B$107:$B$156,原格式费用考核表!$B6,累计考核费用!AC$107:AC$156)/10000</f>
        <v>0</v>
      </c>
      <c r="AB6" s="9" t="e">
        <f ca="1">SUMIF(累计考核费用!$B$107:$B$156,原格式费用考核表!$B6,累计考核费用!#REF!)/10000</f>
        <v>#REF!</v>
      </c>
    </row>
    <row r="7" s="2" customFormat="1" customHeight="1" spans="1:28">
      <c r="A7" s="10"/>
      <c r="B7" s="8" t="s">
        <v>98</v>
      </c>
      <c r="C7" s="8" t="s">
        <v>97</v>
      </c>
      <c r="D7" s="9">
        <f>SUMIF(累计考核费用!$B$107:$B$156,原格式费用考核表!$B7,累计考核费用!C$107:C$156)/10000</f>
        <v>429.833856</v>
      </c>
      <c r="E7" s="9">
        <f>SUMIF(累计考核费用!$B$107:$B$156,原格式费用考核表!$B7,累计考核费用!D$107:D$156)/10000</f>
        <v>0</v>
      </c>
      <c r="F7" s="9">
        <f>SUMIF(累计考核费用!$B$107:$B$156,原格式费用考核表!$B7,累计考核费用!E$107:E$156)/10000</f>
        <v>112.900546</v>
      </c>
      <c r="G7" s="9">
        <f>SUMIF(累计考核费用!$B$107:$B$156,原格式费用考核表!$B7,累计考核费用!F$107:F$156)/10000</f>
        <v>272.901061</v>
      </c>
      <c r="H7" s="9">
        <f>SUMIF(累计考核费用!$B$107:$B$156,原格式费用考核表!$B7,累计考核费用!G$107:G$156)/10000</f>
        <v>6.893418</v>
      </c>
      <c r="I7" s="9">
        <f>SUMIF(累计考核费用!$B$107:$B$156,原格式费用考核表!$B7,累计考核费用!L$107:L$156)/10000</f>
        <v>10.821025</v>
      </c>
      <c r="J7" s="9">
        <f>SUMIF(累计考核费用!$B$107:$B$156,原格式费用考核表!$B7,累计考核费用!M$107:M$156)/10000</f>
        <v>1.346581</v>
      </c>
      <c r="K7" s="9">
        <f>SUMIF(累计考核费用!$B$107:$B$156,原格式费用考核表!$B7,累计考核费用!Q$107:Q$156)/10000</f>
        <v>1.077265</v>
      </c>
      <c r="L7" s="9">
        <f>SUMIF(累计考核费用!$B$107:$B$156,原格式费用考核表!$B7,累计考核费用!P$107:P$156)/10000</f>
        <v>3.231795</v>
      </c>
      <c r="M7" s="9">
        <f>SUMIF(累计考核费用!$B$107:$B$156,原格式费用考核表!$B7,累计考核费用!O$107:O$156)/10000</f>
        <v>1.077265</v>
      </c>
      <c r="N7" s="9">
        <f>SUMIF(累计考核费用!$B$107:$B$156,原格式费用考核表!$B7,累计考核费用!R$107:R$156)/10000</f>
        <v>1.615897</v>
      </c>
      <c r="O7" s="9" t="e">
        <f ca="1">SUMIF(累计考核费用!$B$107:$B$156,原格式费用考核表!$B7,累计考核费用!#REF!)/10000</f>
        <v>#REF!</v>
      </c>
      <c r="P7" s="9">
        <f>SUMIF(累计考核费用!$B$107:$B$156,原格式费用考核表!$B7,累计考核费用!S$107:S$156)/10000</f>
        <v>3.850683</v>
      </c>
      <c r="Q7" s="9" t="e">
        <f ca="1">SUMIF(累计考核费用!$B$107:$B$156,原格式费用考核表!$B7,累计考核费用!#REF!)/10000</f>
        <v>#REF!</v>
      </c>
      <c r="R7" s="9">
        <f>SUMIF(累计考核费用!$B$107:$B$156,原格式费用考核表!$B7,累计考核费用!T$107:T$156)/10000</f>
        <v>26.317806</v>
      </c>
      <c r="S7" s="9">
        <f>SUMIF(累计考核费用!$B$107:$B$156,原格式费用考核表!$B7,累计考核费用!U$107:U$156)/10000</f>
        <v>7.843789</v>
      </c>
      <c r="T7" s="9" t="e">
        <f ca="1">SUMIF(累计考核费用!$B$107:$B$156,原格式费用考核表!$B7,累计考核费用!#REF!)/10000</f>
        <v>#REF!</v>
      </c>
      <c r="U7" s="9">
        <f>SUMIF(累计考核费用!$B$107:$B$156,原格式费用考核表!$B7,累计考核费用!V$107:V$156)/10000</f>
        <v>11.755385</v>
      </c>
      <c r="V7" s="9">
        <f>SUMIF(累计考核费用!$B$107:$B$156,原格式费用考核表!$B7,累计考核费用!W$107:W$156)/10000</f>
        <v>4.564102</v>
      </c>
      <c r="W7" s="9">
        <f>SUMIF(累计考核费用!$B$107:$B$156,原格式费用考核表!$B7,累计考核费用!AB$107:AB$156)/10000</f>
        <v>5.830427</v>
      </c>
      <c r="X7" s="9" t="e">
        <f ca="1">SUMIF(累计考核费用!$B$107:$B$156,原格式费用考核表!$B7,累计考核费用!#REF!)/10000</f>
        <v>#REF!</v>
      </c>
      <c r="Y7" s="9" t="e">
        <f ca="1">SUMIF(累计考核费用!$B$107:$B$156,原格式费用考核表!$B7,累计考核费用!#REF!)/10000</f>
        <v>#REF!</v>
      </c>
      <c r="Z7" s="9" t="e">
        <f ca="1">SUMIF(累计考核费用!$B$107:$B$156,原格式费用考核表!$B7,累计考核费用!#REF!)/10000</f>
        <v>#REF!</v>
      </c>
      <c r="AA7" s="9">
        <f>SUMIF(累计考核费用!$B$107:$B$156,原格式费用考核表!$B7,累计考核费用!AC$107:AC$156)/10000</f>
        <v>16.490712</v>
      </c>
      <c r="AB7" s="9" t="e">
        <f ca="1">SUMIF(累计考核费用!$B$107:$B$156,原格式费用考核表!$B7,累计考核费用!#REF!)/10000</f>
        <v>#REF!</v>
      </c>
    </row>
    <row r="8" s="2" customFormat="1" customHeight="1" spans="1:28">
      <c r="A8" s="10"/>
      <c r="B8" s="8" t="s">
        <v>99</v>
      </c>
      <c r="C8" s="8" t="s">
        <v>98</v>
      </c>
      <c r="D8" s="9">
        <f>SUMIF(累计考核费用!$B$107:$B$156,原格式费用考核表!$B8,累计考核费用!C$107:C$156)/10000</f>
        <v>273.088759</v>
      </c>
      <c r="E8" s="9">
        <f>SUMIF(累计考核费用!$B$107:$B$156,原格式费用考核表!$B8,累计考核费用!D$107:D$156)/10000</f>
        <v>0</v>
      </c>
      <c r="F8" s="9">
        <f>SUMIF(累计考核费用!$B$107:$B$156,原格式费用考核表!$B8,累计考核费用!E$107:E$156)/10000</f>
        <v>64.700828</v>
      </c>
      <c r="G8" s="9">
        <f>SUMIF(累计考核费用!$B$107:$B$156,原格式费用考核表!$B8,累计考核费用!F$107:F$156)/10000</f>
        <v>182.516621</v>
      </c>
      <c r="H8" s="9">
        <f>SUMIF(累计考核费用!$B$107:$B$156,原格式费用考核表!$B8,累计考核费用!G$107:G$156)/10000</f>
        <v>9.18731</v>
      </c>
      <c r="I8" s="9">
        <f>SUMIF(累计考核费用!$B$107:$B$156,原格式费用考核表!$B8,累计考核费用!L$107:L$156)/10000</f>
        <v>16.684</v>
      </c>
      <c r="J8" s="9">
        <f>SUMIF(累计考核费用!$B$107:$B$156,原格式费用考核表!$B8,累计考核费用!M$107:M$156)/10000</f>
        <v>-0.772</v>
      </c>
      <c r="K8" s="9">
        <f>SUMIF(累计考核费用!$B$107:$B$156,原格式费用考核表!$B8,累计考核费用!Q$107:Q$156)/10000</f>
        <v>3.15</v>
      </c>
      <c r="L8" s="9">
        <f>SUMIF(累计考核费用!$B$107:$B$156,原格式费用考核表!$B8,累计考核费用!P$107:P$156)/10000</f>
        <v>5.75</v>
      </c>
      <c r="M8" s="9">
        <f>SUMIF(累计考核费用!$B$107:$B$156,原格式费用考核表!$B8,累计考核费用!O$107:O$156)/10000</f>
        <v>1.134</v>
      </c>
      <c r="N8" s="9">
        <f>SUMIF(累计考核费用!$B$107:$B$156,原格式费用考核表!$B8,累计考核费用!R$107:R$156)/10000</f>
        <v>3.342</v>
      </c>
      <c r="O8" s="9" t="e">
        <f ca="1">SUMIF(累计考核费用!$B$107:$B$156,原格式费用考核表!$B8,累计考核费用!#REF!)/10000</f>
        <v>#REF!</v>
      </c>
      <c r="P8" s="9">
        <f>SUMIF(累计考核费用!$B$107:$B$156,原格式费用考核表!$B8,累计考核费用!S$107:S$156)/10000</f>
        <v>1.974</v>
      </c>
      <c r="Q8" s="9" t="e">
        <f ca="1">SUMIF(累计考核费用!$B$107:$B$156,原格式费用考核表!$B8,累计考核费用!#REF!)/10000</f>
        <v>#REF!</v>
      </c>
      <c r="R8" s="9">
        <f>SUMIF(累计考核费用!$B$107:$B$156,原格式费用考核表!$B8,累计考核费用!T$107:T$156)/10000</f>
        <v>0</v>
      </c>
      <c r="S8" s="9">
        <f>SUMIF(累计考核费用!$B$107:$B$156,原格式费用考核表!$B8,累计考核费用!U$107:U$156)/10000</f>
        <v>0</v>
      </c>
      <c r="T8" s="9" t="e">
        <f ca="1">SUMIF(累计考核费用!$B$107:$B$156,原格式费用考核表!$B8,累计考核费用!#REF!)/10000</f>
        <v>#REF!</v>
      </c>
      <c r="U8" s="9">
        <f>SUMIF(累计考核费用!$B$107:$B$156,原格式费用考核表!$B8,累计考核费用!V$107:V$156)/10000</f>
        <v>0</v>
      </c>
      <c r="V8" s="9">
        <f>SUMIF(累计考核费用!$B$107:$B$156,原格式费用考核表!$B8,累计考核费用!W$107:W$156)/10000</f>
        <v>0</v>
      </c>
      <c r="W8" s="9">
        <f>SUMIF(累计考核费用!$B$107:$B$156,原格式费用考核表!$B8,累计考核费用!AB$107:AB$156)/10000</f>
        <v>0</v>
      </c>
      <c r="X8" s="9" t="e">
        <f ca="1">SUMIF(累计考核费用!$B$107:$B$156,原格式费用考核表!$B8,累计考核费用!#REF!)/10000</f>
        <v>#REF!</v>
      </c>
      <c r="Y8" s="9" t="e">
        <f ca="1">SUMIF(累计考核费用!$B$107:$B$156,原格式费用考核表!$B8,累计考核费用!#REF!)/10000</f>
        <v>#REF!</v>
      </c>
      <c r="Z8" s="9" t="e">
        <f ca="1">SUMIF(累计考核费用!$B$107:$B$156,原格式费用考核表!$B8,累计考核费用!#REF!)/10000</f>
        <v>#REF!</v>
      </c>
      <c r="AA8" s="9">
        <f>SUMIF(累计考核费用!$B$107:$B$156,原格式费用考核表!$B8,累计考核费用!AC$107:AC$156)/10000</f>
        <v>10.536828</v>
      </c>
      <c r="AB8" s="9" t="e">
        <f ca="1">SUMIF(累计考核费用!$B$107:$B$156,原格式费用考核表!$B8,累计考核费用!#REF!)/10000</f>
        <v>#REF!</v>
      </c>
    </row>
    <row r="9" s="2" customFormat="1" customHeight="1" spans="1:28">
      <c r="A9" s="10"/>
      <c r="B9" s="8" t="s">
        <v>292</v>
      </c>
      <c r="C9" s="8" t="s">
        <v>99</v>
      </c>
      <c r="D9" s="11">
        <f>D56</f>
        <v>50.166797</v>
      </c>
      <c r="E9" s="11">
        <f t="shared" ref="E9:J9" si="0">E56</f>
        <v>0</v>
      </c>
      <c r="F9" s="11">
        <f t="shared" si="0"/>
        <v>19.743404</v>
      </c>
      <c r="G9" s="11">
        <f t="shared" si="0"/>
        <v>21.382383</v>
      </c>
      <c r="H9" s="11">
        <f t="shared" si="0"/>
        <v>1.2</v>
      </c>
      <c r="I9" s="11">
        <f t="shared" si="0"/>
        <v>4.33241</v>
      </c>
      <c r="J9" s="11">
        <f t="shared" si="0"/>
        <v>0.127</v>
      </c>
      <c r="K9" s="11"/>
      <c r="L9" s="11">
        <f>K56</f>
        <v>1.373904</v>
      </c>
      <c r="M9" s="11"/>
      <c r="N9" s="11">
        <f t="shared" ref="N9:AB9" si="1">L56</f>
        <v>0.9166</v>
      </c>
      <c r="O9" s="11">
        <f t="shared" si="1"/>
        <v>0</v>
      </c>
      <c r="P9" s="11">
        <f t="shared" si="1"/>
        <v>1.353906</v>
      </c>
      <c r="Q9" s="11">
        <f t="shared" si="1"/>
        <v>0.561</v>
      </c>
      <c r="R9" s="11">
        <f t="shared" si="1"/>
        <v>0.8</v>
      </c>
      <c r="S9" s="11">
        <f t="shared" si="1"/>
        <v>0.999</v>
      </c>
      <c r="T9" s="11">
        <f t="shared" si="1"/>
        <v>0</v>
      </c>
      <c r="U9" s="11">
        <f t="shared" si="1"/>
        <v>0.16</v>
      </c>
      <c r="V9" s="11">
        <f t="shared" si="1"/>
        <v>0</v>
      </c>
      <c r="W9" s="11">
        <f t="shared" si="1"/>
        <v>0.839</v>
      </c>
      <c r="X9" s="11">
        <f t="shared" si="1"/>
        <v>1.7096</v>
      </c>
      <c r="Y9" s="11">
        <f t="shared" si="1"/>
        <v>1.229</v>
      </c>
      <c r="Z9" s="11">
        <f t="shared" si="1"/>
        <v>0.4806</v>
      </c>
      <c r="AA9" s="11">
        <f t="shared" si="1"/>
        <v>0</v>
      </c>
      <c r="AB9" s="11">
        <f t="shared" si="1"/>
        <v>0</v>
      </c>
    </row>
    <row r="10" s="2" customFormat="1" customHeight="1" spans="1:28">
      <c r="A10" s="10"/>
      <c r="B10" s="8" t="s">
        <v>101</v>
      </c>
      <c r="C10" s="8" t="s">
        <v>100</v>
      </c>
      <c r="D10" s="9">
        <f>SUMIF(累计考核费用!$B$107:$B$156,原格式费用考核表!$B10,累计考核费用!C$107:C$156)/10000</f>
        <v>1871.745908</v>
      </c>
      <c r="E10" s="9">
        <f>SUMIF(累计考核费用!$B$107:$B$156,原格式费用考核表!$B10,累计考核费用!D$107:D$156)/10000</f>
        <v>-678.254092</v>
      </c>
      <c r="F10" s="9">
        <f>SUMIF(累计考核费用!$B$107:$B$156,原格式费用考核表!$B10,累计考核费用!E$107:E$156)/10000</f>
        <v>2550</v>
      </c>
      <c r="G10" s="9">
        <f>SUMIF(累计考核费用!$B$107:$B$156,原格式费用考核表!$B10,累计考核费用!F$107:F$156)/10000</f>
        <v>0</v>
      </c>
      <c r="H10" s="9">
        <f>SUMIF(累计考核费用!$B$107:$B$156,原格式费用考核表!$B10,累计考核费用!G$107:G$156)/10000</f>
        <v>0</v>
      </c>
      <c r="I10" s="9">
        <f>SUMIF(累计考核费用!$B$107:$B$156,原格式费用考核表!$B10,累计考核费用!L$107:L$156)/10000</f>
        <v>0</v>
      </c>
      <c r="J10" s="9">
        <f>SUMIF(累计考核费用!$B$107:$B$156,原格式费用考核表!$B10,累计考核费用!M$107:M$156)/10000</f>
        <v>0</v>
      </c>
      <c r="K10" s="9">
        <f>SUMIF(累计考核费用!$B$107:$B$156,原格式费用考核表!$B10,累计考核费用!Q$107:Q$156)/10000</f>
        <v>0</v>
      </c>
      <c r="L10" s="9">
        <f>SUMIF(累计考核费用!$B$107:$B$156,原格式费用考核表!$B10,累计考核费用!P$107:P$156)/10000</f>
        <v>0</v>
      </c>
      <c r="M10" s="9">
        <f>SUMIF(累计考核费用!$B$107:$B$156,原格式费用考核表!$B10,累计考核费用!O$107:O$156)/10000</f>
        <v>0</v>
      </c>
      <c r="N10" s="9">
        <f>SUMIF(累计考核费用!$B$107:$B$156,原格式费用考核表!$B10,累计考核费用!R$107:R$156)/10000</f>
        <v>0</v>
      </c>
      <c r="O10" s="9" t="e">
        <f ca="1">SUMIF(累计考核费用!$B$107:$B$156,原格式费用考核表!$B10,累计考核费用!#REF!)/10000</f>
        <v>#REF!</v>
      </c>
      <c r="P10" s="9">
        <f>SUMIF(累计考核费用!$B$107:$B$156,原格式费用考核表!$B10,累计考核费用!S$107:S$156)/10000</f>
        <v>0</v>
      </c>
      <c r="Q10" s="9" t="e">
        <f ca="1">SUMIF(累计考核费用!$B$107:$B$156,原格式费用考核表!$B10,累计考核费用!#REF!)/10000</f>
        <v>#REF!</v>
      </c>
      <c r="R10" s="9">
        <f>SUMIF(累计考核费用!$B$107:$B$156,原格式费用考核表!$B10,累计考核费用!T$107:T$156)/10000</f>
        <v>0</v>
      </c>
      <c r="S10" s="9">
        <f>SUMIF(累计考核费用!$B$107:$B$156,原格式费用考核表!$B10,累计考核费用!U$107:U$156)/10000</f>
        <v>0</v>
      </c>
      <c r="T10" s="9" t="e">
        <f ca="1">SUMIF(累计考核费用!$B$107:$B$156,原格式费用考核表!$B10,累计考核费用!#REF!)/10000</f>
        <v>#REF!</v>
      </c>
      <c r="U10" s="9">
        <f>SUMIF(累计考核费用!$B$107:$B$156,原格式费用考核表!$B10,累计考核费用!V$107:V$156)/10000</f>
        <v>0</v>
      </c>
      <c r="V10" s="9">
        <f>SUMIF(累计考核费用!$B$107:$B$156,原格式费用考核表!$B10,累计考核费用!W$107:W$156)/10000</f>
        <v>0</v>
      </c>
      <c r="W10" s="9">
        <f>SUMIF(累计考核费用!$B$107:$B$156,原格式费用考核表!$B10,累计考核费用!AB$107:AB$156)/10000</f>
        <v>0</v>
      </c>
      <c r="X10" s="9" t="e">
        <f ca="1">SUMIF(累计考核费用!$B$107:$B$156,原格式费用考核表!$B10,累计考核费用!#REF!)/10000</f>
        <v>#REF!</v>
      </c>
      <c r="Y10" s="9" t="e">
        <f ca="1">SUMIF(累计考核费用!$B$107:$B$156,原格式费用考核表!$B10,累计考核费用!#REF!)/10000</f>
        <v>#REF!</v>
      </c>
      <c r="Z10" s="9" t="e">
        <f ca="1">SUMIF(累计考核费用!$B$107:$B$156,原格式费用考核表!$B10,累计考核费用!#REF!)/10000</f>
        <v>#REF!</v>
      </c>
      <c r="AA10" s="9">
        <f>SUMIF(累计考核费用!$B$107:$B$156,原格式费用考核表!$B10,累计考核费用!AC$107:AC$156)/10000</f>
        <v>0</v>
      </c>
      <c r="AB10" s="9" t="e">
        <f ca="1">SUMIF(累计考核费用!$B$107:$B$156,原格式费用考核表!$B10,累计考核费用!#REF!)/10000</f>
        <v>#REF!</v>
      </c>
    </row>
    <row r="11" s="2" customFormat="1" customHeight="1" spans="1:28">
      <c r="A11" s="12"/>
      <c r="B11" s="8" t="s">
        <v>102</v>
      </c>
      <c r="C11" s="8" t="s">
        <v>101</v>
      </c>
      <c r="D11" s="13">
        <f t="shared" ref="D11:AB11" si="2">SUM(D2:D10)</f>
        <v>32029.453054</v>
      </c>
      <c r="E11" s="13">
        <f t="shared" si="2"/>
        <v>121.745908</v>
      </c>
      <c r="F11" s="13">
        <f t="shared" si="2"/>
        <v>11932.578927</v>
      </c>
      <c r="G11" s="13">
        <f t="shared" si="2"/>
        <v>14183.013753</v>
      </c>
      <c r="H11" s="13">
        <f t="shared" si="2"/>
        <v>934.841086</v>
      </c>
      <c r="I11" s="13">
        <f t="shared" si="2"/>
        <v>1497.683524</v>
      </c>
      <c r="J11" s="13">
        <f t="shared" si="2"/>
        <v>122.301958</v>
      </c>
      <c r="K11" s="13">
        <f t="shared" si="2"/>
        <v>259.108589</v>
      </c>
      <c r="L11" s="13">
        <f t="shared" si="2"/>
        <v>508.48325</v>
      </c>
      <c r="M11" s="13">
        <f t="shared" si="2"/>
        <v>86.16544</v>
      </c>
      <c r="N11" s="13">
        <f t="shared" si="2"/>
        <v>283.726234</v>
      </c>
      <c r="O11" s="13" t="e">
        <f ca="1" t="shared" si="2"/>
        <v>#REF!</v>
      </c>
      <c r="P11" s="13">
        <f t="shared" si="2"/>
        <v>276.684251</v>
      </c>
      <c r="Q11" s="13" t="e">
        <f ca="1" t="shared" si="2"/>
        <v>#REF!</v>
      </c>
      <c r="R11" s="13">
        <f t="shared" si="2"/>
        <v>3356.881256</v>
      </c>
      <c r="S11" s="13">
        <f t="shared" si="2"/>
        <v>619.647606</v>
      </c>
      <c r="T11" s="13" t="e">
        <f ca="1" t="shared" si="2"/>
        <v>#REF!</v>
      </c>
      <c r="U11" s="13">
        <f t="shared" si="2"/>
        <v>1210.388454</v>
      </c>
      <c r="V11" s="13">
        <f t="shared" si="2"/>
        <v>1084.99602</v>
      </c>
      <c r="W11" s="13">
        <f t="shared" si="2"/>
        <v>611.201538</v>
      </c>
      <c r="X11" s="13" t="e">
        <f ca="1" t="shared" si="2"/>
        <v>#REF!</v>
      </c>
      <c r="Y11" s="13" t="e">
        <f ca="1" t="shared" si="2"/>
        <v>#REF!</v>
      </c>
      <c r="Z11" s="13" t="e">
        <f ca="1" t="shared" si="2"/>
        <v>#REF!</v>
      </c>
      <c r="AA11" s="13">
        <f t="shared" si="2"/>
        <v>740.858213</v>
      </c>
      <c r="AB11" s="13" t="e">
        <f ca="1" t="shared" si="2"/>
        <v>#REF!</v>
      </c>
    </row>
    <row r="12" s="2" customFormat="1" customHeight="1" spans="1:28">
      <c r="A12" s="14" t="s">
        <v>103</v>
      </c>
      <c r="B12" s="15" t="s">
        <v>104</v>
      </c>
      <c r="C12" s="15" t="s">
        <v>102</v>
      </c>
      <c r="D12" s="9">
        <f>SUMIF(累计考核费用!$B$107:$B$156,原格式费用考核表!$B12,累计考核费用!C$107:C$156)/10000</f>
        <v>10676.82173</v>
      </c>
      <c r="E12" s="9">
        <f>SUMIF(累计考核费用!$B$107:$B$156,原格式费用考核表!$B12,累计考核费用!D$107:D$156)/10000</f>
        <v>1544.583899</v>
      </c>
      <c r="F12" s="9">
        <f>SUMIF(累计考核费用!$B$107:$B$156,原格式费用考核表!$B12,累计考核费用!E$107:E$156)/10000</f>
        <v>107.517718</v>
      </c>
      <c r="G12" s="9">
        <f>SUMIF(累计考核费用!$B$107:$B$156,原格式费用考核表!$B12,累计考核费用!F$107:F$156)/10000</f>
        <v>2896.399947</v>
      </c>
      <c r="H12" s="9">
        <f>SUMIF(累计考核费用!$B$107:$B$156,原格式费用考核表!$B12,累计考核费用!G$107:G$156)/10000</f>
        <v>270.987452</v>
      </c>
      <c r="I12" s="9">
        <f>SUMIF(累计考核费用!$B$107:$B$156,原格式费用考核表!$B12,累计考核费用!L$107:L$156)/10000</f>
        <v>0.34</v>
      </c>
      <c r="J12" s="9">
        <f>SUMIF(累计考核费用!$B$107:$B$156,原格式费用考核表!$B12,累计考核费用!M$107:M$156)/10000</f>
        <v>0</v>
      </c>
      <c r="K12" s="9">
        <f>SUMIF(累计考核费用!$B$107:$B$156,原格式费用考核表!$B12,累计考核费用!Q$107:Q$156)/10000</f>
        <v>0</v>
      </c>
      <c r="L12" s="9">
        <f>SUMIF(累计考核费用!$B$107:$B$156,原格式费用考核表!$B12,累计考核费用!P$107:P$156)/10000</f>
        <v>0</v>
      </c>
      <c r="M12" s="9">
        <f>SUMIF(累计考核费用!$B$107:$B$156,原格式费用考核表!$B12,累计考核费用!O$107:O$156)/10000</f>
        <v>0</v>
      </c>
      <c r="N12" s="9">
        <f>SUMIF(累计考核费用!$B$107:$B$156,原格式费用考核表!$B12,累计考核费用!R$107:R$156)/10000</f>
        <v>0.34</v>
      </c>
      <c r="O12" s="9" t="e">
        <f ca="1">SUMIF(累计考核费用!$B$107:$B$156,原格式费用考核表!$B12,累计考核费用!#REF!)/10000</f>
        <v>#REF!</v>
      </c>
      <c r="P12" s="9">
        <f>SUMIF(累计考核费用!$B$107:$B$156,原格式费用考核表!$B12,累计考核费用!S$107:S$156)/10000</f>
        <v>0</v>
      </c>
      <c r="Q12" s="9" t="e">
        <f ca="1">SUMIF(累计考核费用!$B$107:$B$156,原格式费用考核表!$B12,累计考核费用!#REF!)/10000</f>
        <v>#REF!</v>
      </c>
      <c r="R12" s="9">
        <f>SUMIF(累计考核费用!$B$107:$B$156,原格式费用考核表!$B12,累计考核费用!T$107:T$156)/10000</f>
        <v>5856.992714</v>
      </c>
      <c r="S12" s="9">
        <f>SUMIF(累计考核费用!$B$107:$B$156,原格式费用考核表!$B12,累计考核费用!U$107:U$156)/10000</f>
        <v>155.25318</v>
      </c>
      <c r="T12" s="9" t="e">
        <f ca="1">SUMIF(累计考核费用!$B$107:$B$156,原格式费用考核表!$B12,累计考核费用!#REF!)/10000</f>
        <v>#REF!</v>
      </c>
      <c r="U12" s="9">
        <f>SUMIF(累计考核费用!$B$107:$B$156,原格式费用考核表!$B12,累计考核费用!V$107:V$156)/10000</f>
        <v>5242.685295</v>
      </c>
      <c r="V12" s="9">
        <f>SUMIF(累计考核费用!$B$107:$B$156,原格式费用考核表!$B12,累计考核费用!W$107:W$156)/10000</f>
        <v>432.932739</v>
      </c>
      <c r="W12" s="9">
        <f>SUMIF(累计考核费用!$B$107:$B$156,原格式费用考核表!$B12,累计考核费用!AB$107:AB$156)/10000</f>
        <v>0</v>
      </c>
      <c r="X12" s="9" t="e">
        <f ca="1">SUMIF(累计考核费用!$B$107:$B$156,原格式费用考核表!$B12,累计考核费用!#REF!)/10000</f>
        <v>#REF!</v>
      </c>
      <c r="Y12" s="9" t="e">
        <f ca="1">SUMIF(累计考核费用!$B$107:$B$156,原格式费用考核表!$B12,累计考核费用!#REF!)/10000</f>
        <v>#REF!</v>
      </c>
      <c r="Z12" s="9" t="e">
        <f ca="1">SUMIF(累计考核费用!$B$107:$B$156,原格式费用考核表!$B12,累计考核费用!#REF!)/10000</f>
        <v>#REF!</v>
      </c>
      <c r="AA12" s="9">
        <f>SUMIF(累计考核费用!$B$107:$B$156,原格式费用考核表!$B12,累计考核费用!AC$107:AC$156)/10000</f>
        <v>0</v>
      </c>
      <c r="AB12" s="9" t="e">
        <f ca="1">SUMIF(累计考核费用!$B$107:$B$156,原格式费用考核表!$B12,累计考核费用!#REF!)/10000</f>
        <v>#REF!</v>
      </c>
    </row>
    <row r="13" s="2" customFormat="1" customHeight="1" spans="1:28">
      <c r="A13" s="16"/>
      <c r="B13" s="15" t="s">
        <v>293</v>
      </c>
      <c r="C13" s="15" t="s">
        <v>104</v>
      </c>
      <c r="D13" s="9">
        <f>累计考核费用!C120/10000</f>
        <v>6808.763073</v>
      </c>
      <c r="E13" s="9">
        <v>1242</v>
      </c>
      <c r="F13" s="9">
        <f>累计考核费用!E120/10000</f>
        <v>1.323687</v>
      </c>
      <c r="G13" s="9">
        <f>累计考核费用!F120/10000</f>
        <v>5797.40686579245</v>
      </c>
      <c r="H13" s="9">
        <f>累计考核费用!G120/10000</f>
        <v>-0.0606</v>
      </c>
      <c r="I13" s="9">
        <f>累计考核费用!L120/10000</f>
        <v>2</v>
      </c>
      <c r="J13" s="9">
        <f>累计考核费用!M120/10000</f>
        <v>0</v>
      </c>
      <c r="K13" s="9">
        <f>累计考核费用!Q120/10000</f>
        <v>0</v>
      </c>
      <c r="L13" s="9">
        <f>累计考核费用!P120/10000</f>
        <v>0</v>
      </c>
      <c r="M13" s="9">
        <f>累计考核费用!O120/10000</f>
        <v>0</v>
      </c>
      <c r="N13" s="9">
        <f>累计考核费用!R120/10000</f>
        <v>0</v>
      </c>
      <c r="O13" s="9" t="e">
        <f>累计考核费用!#REF!/10000</f>
        <v>#REF!</v>
      </c>
      <c r="P13" s="9">
        <f>累计考核费用!S120/10000</f>
        <v>0</v>
      </c>
      <c r="Q13" s="9" t="e">
        <f>累计考核费用!#REF!/10000</f>
        <v>#REF!</v>
      </c>
      <c r="R13" s="9">
        <f>累计考核费用!T120/10000</f>
        <v>443.415537</v>
      </c>
      <c r="S13" s="9">
        <f>累计考核费用!U120/10000</f>
        <v>69.0047</v>
      </c>
      <c r="T13" s="9" t="e">
        <f>累计考核费用!#REF!/10000</f>
        <v>#REF!</v>
      </c>
      <c r="U13" s="9">
        <f>累计考核费用!V120/10000</f>
        <v>79.15371</v>
      </c>
      <c r="V13" s="9">
        <f>累计考核费用!W120/10000</f>
        <v>273.170485</v>
      </c>
      <c r="W13" s="9">
        <f>累计考核费用!AB120/10000</f>
        <v>0</v>
      </c>
      <c r="X13" s="9" t="e">
        <f>累计考核费用!#REF!/10000</f>
        <v>#REF!</v>
      </c>
      <c r="Y13" s="9" t="e">
        <f>累计考核费用!#REF!/10000</f>
        <v>#REF!</v>
      </c>
      <c r="Z13" s="9" t="e">
        <f>累计考核费用!#REF!/10000</f>
        <v>#REF!</v>
      </c>
      <c r="AA13" s="9">
        <f>累计考核费用!AC120/10000</f>
        <v>1.323687</v>
      </c>
      <c r="AB13" s="9" t="e">
        <f>累计考核费用!#REF!/10000</f>
        <v>#REF!</v>
      </c>
    </row>
    <row r="14" s="2" customFormat="1" customHeight="1" spans="1:28">
      <c r="A14" s="16"/>
      <c r="B14" s="15" t="s">
        <v>106</v>
      </c>
      <c r="C14" s="15" t="s">
        <v>105</v>
      </c>
      <c r="D14" s="9">
        <f>SUMIF(累计考核费用!$B$107:$B$156,原格式费用考核表!$B14,累计考核费用!C$107:C$156)/10000</f>
        <v>2037.964235</v>
      </c>
      <c r="E14" s="9">
        <f>SUMIF(累计考核费用!$B$107:$B$156,原格式费用考核表!$B14,累计考核费用!D$107:D$156)/10000</f>
        <v>76.7985036975</v>
      </c>
      <c r="F14" s="9">
        <f>SUMIF(累计考核费用!$B$107:$B$156,原格式费用考核表!$B14,累计考核费用!E$107:E$156)/10000</f>
        <v>-453.713816</v>
      </c>
      <c r="G14" s="9">
        <f>SUMIF(累计考核费用!$B$107:$B$156,原格式费用考核表!$B14,累计考核费用!F$107:F$156)/10000</f>
        <v>1659.405287</v>
      </c>
      <c r="H14" s="9">
        <f>SUMIF(累计考核费用!$B$107:$B$156,原格式费用考核表!$B14,累计考核费用!G$107:G$156)/10000</f>
        <v>-69.360289</v>
      </c>
      <c r="I14" s="9">
        <f>SUMIF(累计考核费用!$B$107:$B$156,原格式费用考核表!$B14,累计考核费用!L$107:L$156)/10000</f>
        <v>314.4227973025</v>
      </c>
      <c r="J14" s="9">
        <f>SUMIF(累计考核费用!$B$107:$B$156,原格式费用考核表!$B14,累计考核费用!M$107:M$156)/10000</f>
        <v>85.799809</v>
      </c>
      <c r="K14" s="9">
        <f>SUMIF(累计考核费用!$B$107:$B$156,原格式费用考核表!$B14,累计考核费用!Q$107:Q$156)/10000</f>
        <v>39.422515</v>
      </c>
      <c r="L14" s="9">
        <f>SUMIF(累计考核费用!$B$107:$B$156,原格式费用考核表!$B14,累计考核费用!P$107:P$156)/10000</f>
        <v>112.54398</v>
      </c>
      <c r="M14" s="9">
        <f>SUMIF(累计考核费用!$B$107:$B$156,原格式费用考核表!$B14,累计考核费用!O$107:O$156)/10000</f>
        <v>7.591885</v>
      </c>
      <c r="N14" s="9">
        <f>SUMIF(累计考核费用!$B$107:$B$156,原格式费用考核表!$B14,累计考核费用!R$107:R$156)/10000</f>
        <v>6.7749353025</v>
      </c>
      <c r="O14" s="9" t="e">
        <f ca="1">SUMIF(累计考核费用!$B$107:$B$156,原格式费用考核表!$B14,累计考核费用!#REF!)/10000</f>
        <v>#REF!</v>
      </c>
      <c r="P14" s="9">
        <f>SUMIF(累计考核费用!$B$107:$B$156,原格式费用考核表!$B14,累计考核费用!S$107:S$156)/10000</f>
        <v>0.015578</v>
      </c>
      <c r="Q14" s="9" t="e">
        <f ca="1">SUMIF(累计考核费用!$B$107:$B$156,原格式费用考核表!$B14,累计考核费用!#REF!)/10000</f>
        <v>#REF!</v>
      </c>
      <c r="R14" s="9">
        <f>SUMIF(累计考核费用!$B$107:$B$156,原格式费用考核表!$B14,累计考核费用!T$107:T$156)/10000</f>
        <v>510.411752</v>
      </c>
      <c r="S14" s="9">
        <f>SUMIF(累计考核费用!$B$107:$B$156,原格式费用考核表!$B14,累计考核费用!U$107:U$156)/10000</f>
        <v>34.876178</v>
      </c>
      <c r="T14" s="9" t="e">
        <f ca="1">SUMIF(累计考核费用!$B$107:$B$156,原格式费用考核表!$B14,累计考核费用!#REF!)/10000</f>
        <v>#REF!</v>
      </c>
      <c r="U14" s="9">
        <f>SUMIF(累计考核费用!$B$107:$B$156,原格式费用考核表!$B14,累计考核费用!V$107:V$156)/10000</f>
        <v>419.840808</v>
      </c>
      <c r="V14" s="9">
        <f>SUMIF(累计考核费用!$B$107:$B$156,原格式费用考核表!$B14,累计考核费用!W$107:W$156)/10000</f>
        <v>49.990169</v>
      </c>
      <c r="W14" s="9">
        <f>SUMIF(累计考核费用!$B$107:$B$156,原格式费用考核表!$B14,累计考核费用!AB$107:AB$156)/10000</f>
        <v>-0.0560700000000001</v>
      </c>
      <c r="X14" s="9" t="e">
        <f ca="1">SUMIF(累计考核费用!$B$107:$B$156,原格式费用考核表!$B14,累计考核费用!#REF!)/10000</f>
        <v>#REF!</v>
      </c>
      <c r="Y14" s="9" t="e">
        <f ca="1">SUMIF(累计考核费用!$B$107:$B$156,原格式费用考核表!$B14,累计考核费用!#REF!)/10000</f>
        <v>#REF!</v>
      </c>
      <c r="Z14" s="9" t="e">
        <f ca="1">SUMIF(累计考核费用!$B$107:$B$156,原格式费用考核表!$B14,累计考核费用!#REF!)/10000</f>
        <v>#REF!</v>
      </c>
      <c r="AA14" s="9">
        <f>SUMIF(累计考核费用!$B$107:$B$156,原格式费用考核表!$B14,累计考核费用!AC$107:AC$156)/10000</f>
        <v>0.000299</v>
      </c>
      <c r="AB14" s="9" t="e">
        <f ca="1">SUMIF(累计考核费用!$B$107:$B$156,原格式费用考核表!$B14,累计考核费用!#REF!)/10000</f>
        <v>#REF!</v>
      </c>
    </row>
    <row r="15" s="2" customFormat="1" customHeight="1" spans="1:28">
      <c r="A15" s="16"/>
      <c r="B15" s="15" t="s">
        <v>108</v>
      </c>
      <c r="C15" s="15" t="s">
        <v>106</v>
      </c>
      <c r="D15" s="9">
        <f>SUMIF(累计考核费用!$B$107:$B$156,原格式费用考核表!$B15,累计考核费用!C$107:C$156)/10000</f>
        <v>1406.954386</v>
      </c>
      <c r="E15" s="9">
        <f>SUMIF(累计考核费用!$B$107:$B$156,原格式费用考核表!$B15,累计考核费用!D$107:D$156)/10000</f>
        <v>0</v>
      </c>
      <c r="F15" s="9">
        <f>SUMIF(累计考核费用!$B$107:$B$156,原格式费用考核表!$B15,累计考核费用!E$107:E$156)/10000</f>
        <v>20.388532</v>
      </c>
      <c r="G15" s="9">
        <f>SUMIF(累计考核费用!$B$107:$B$156,原格式费用考核表!$B15,累计考核费用!F$107:F$156)/10000</f>
        <v>1289.262704</v>
      </c>
      <c r="H15" s="9">
        <f>SUMIF(累计考核费用!$B$107:$B$156,原格式费用考核表!$B15,累计考核费用!G$107:G$156)/10000</f>
        <v>44.221208</v>
      </c>
      <c r="I15" s="9">
        <f>SUMIF(累计考核费用!$B$107:$B$156,原格式费用考核表!$B15,累计考核费用!L$107:L$156)/10000</f>
        <v>53.081942</v>
      </c>
      <c r="J15" s="9">
        <f>SUMIF(累计考核费用!$B$107:$B$156,原格式费用考核表!$B15,累计考核费用!M$107:M$156)/10000</f>
        <v>4.833334</v>
      </c>
      <c r="K15" s="9">
        <f>SUMIF(累计考核费用!$B$107:$B$156,原格式费用考核表!$B15,累计考核费用!Q$107:Q$156)/10000</f>
        <v>6.030322</v>
      </c>
      <c r="L15" s="9">
        <f>SUMIF(累计考核费用!$B$107:$B$156,原格式费用考核表!$B15,累计考核费用!P$107:P$156)/10000</f>
        <v>16.310245</v>
      </c>
      <c r="M15" s="9">
        <f>SUMIF(累计考核费用!$B$107:$B$156,原格式费用考核表!$B15,累计考核费用!O$107:O$156)/10000</f>
        <v>13.848173</v>
      </c>
      <c r="N15" s="9">
        <f>SUMIF(累计考核费用!$B$107:$B$156,原格式费用考核表!$B15,累计考核费用!R$107:R$156)/10000</f>
        <v>7.566158</v>
      </c>
      <c r="O15" s="9" t="e">
        <f ca="1">SUMIF(累计考核费用!$B$107:$B$156,原格式费用考核表!$B15,累计考核费用!#REF!)/10000</f>
        <v>#REF!</v>
      </c>
      <c r="P15" s="9">
        <f>SUMIF(累计考核费用!$B$107:$B$156,原格式费用考核表!$B15,累计考核费用!S$107:S$156)/10000</f>
        <v>0</v>
      </c>
      <c r="Q15" s="9" t="e">
        <f ca="1">SUMIF(累计考核费用!$B$107:$B$156,原格式费用考核表!$B15,累计考核费用!#REF!)/10000</f>
        <v>#REF!</v>
      </c>
      <c r="R15" s="9">
        <f>SUMIF(累计考核费用!$B$107:$B$156,原格式费用考核表!$B15,累计考核费用!T$107:T$156)/10000</f>
        <v>0</v>
      </c>
      <c r="S15" s="9">
        <f>SUMIF(累计考核费用!$B$107:$B$156,原格式费用考核表!$B15,累计考核费用!U$107:U$156)/10000</f>
        <v>0</v>
      </c>
      <c r="T15" s="9" t="e">
        <f ca="1">SUMIF(累计考核费用!$B$107:$B$156,原格式费用考核表!$B15,累计考核费用!#REF!)/10000</f>
        <v>#REF!</v>
      </c>
      <c r="U15" s="9">
        <f>SUMIF(累计考核费用!$B$107:$B$156,原格式费用考核表!$B15,累计考核费用!V$107:V$156)/10000</f>
        <v>0</v>
      </c>
      <c r="V15" s="9">
        <f>SUMIF(累计考核费用!$B$107:$B$156,原格式费用考核表!$B15,累计考核费用!W$107:W$156)/10000</f>
        <v>0</v>
      </c>
      <c r="W15" s="9">
        <f>SUMIF(累计考核费用!$B$107:$B$156,原格式费用考核表!$B15,累计考核费用!AB$107:AB$156)/10000</f>
        <v>0</v>
      </c>
      <c r="X15" s="9" t="e">
        <f ca="1">SUMIF(累计考核费用!$B$107:$B$156,原格式费用考核表!$B15,累计考核费用!#REF!)/10000</f>
        <v>#REF!</v>
      </c>
      <c r="Y15" s="9" t="e">
        <f ca="1">SUMIF(累计考核费用!$B$107:$B$156,原格式费用考核表!$B15,累计考核费用!#REF!)/10000</f>
        <v>#REF!</v>
      </c>
      <c r="Z15" s="9" t="e">
        <f ca="1">SUMIF(累计考核费用!$B$107:$B$156,原格式费用考核表!$B15,累计考核费用!#REF!)/10000</f>
        <v>#REF!</v>
      </c>
      <c r="AA15" s="9">
        <f>SUMIF(累计考核费用!$B$107:$B$156,原格式费用考核表!$B15,累计考核费用!AC$107:AC$156)/10000</f>
        <v>0</v>
      </c>
      <c r="AB15" s="9" t="e">
        <f ca="1">SUMIF(累计考核费用!$B$107:$B$156,原格式费用考核表!$B15,累计考核费用!#REF!)/10000</f>
        <v>#REF!</v>
      </c>
    </row>
    <row r="16" s="2" customFormat="1" customHeight="1" spans="1:28">
      <c r="A16" s="17"/>
      <c r="B16" s="15" t="s">
        <v>102</v>
      </c>
      <c r="C16" s="15" t="s">
        <v>107</v>
      </c>
      <c r="D16" s="13">
        <f t="shared" ref="D16:AB16" si="3">SUM(D12:D15)</f>
        <v>20930.503424</v>
      </c>
      <c r="E16" s="13">
        <f t="shared" si="3"/>
        <v>2863.3824026975</v>
      </c>
      <c r="F16" s="13">
        <f t="shared" si="3"/>
        <v>-324.483879</v>
      </c>
      <c r="G16" s="13">
        <f t="shared" si="3"/>
        <v>11642.4748037925</v>
      </c>
      <c r="H16" s="13">
        <f t="shared" si="3"/>
        <v>245.787771</v>
      </c>
      <c r="I16" s="13">
        <f t="shared" si="3"/>
        <v>369.8447393025</v>
      </c>
      <c r="J16" s="13">
        <f t="shared" si="3"/>
        <v>90.633143</v>
      </c>
      <c r="K16" s="13">
        <f t="shared" si="3"/>
        <v>45.452837</v>
      </c>
      <c r="L16" s="13">
        <f t="shared" si="3"/>
        <v>128.854225</v>
      </c>
      <c r="M16" s="13">
        <f t="shared" si="3"/>
        <v>21.440058</v>
      </c>
      <c r="N16" s="13">
        <f t="shared" si="3"/>
        <v>14.6810933025</v>
      </c>
      <c r="O16" s="13" t="e">
        <f ca="1" t="shared" si="3"/>
        <v>#REF!</v>
      </c>
      <c r="P16" s="13">
        <f t="shared" si="3"/>
        <v>0.015578</v>
      </c>
      <c r="Q16" s="13" t="e">
        <f ca="1" t="shared" si="3"/>
        <v>#REF!</v>
      </c>
      <c r="R16" s="13">
        <f t="shared" si="3"/>
        <v>6810.820003</v>
      </c>
      <c r="S16" s="13">
        <f t="shared" si="3"/>
        <v>259.134058</v>
      </c>
      <c r="T16" s="13" t="e">
        <f ca="1" t="shared" si="3"/>
        <v>#REF!</v>
      </c>
      <c r="U16" s="13">
        <f t="shared" si="3"/>
        <v>5741.679813</v>
      </c>
      <c r="V16" s="13">
        <f t="shared" si="3"/>
        <v>756.093393</v>
      </c>
      <c r="W16" s="13">
        <f t="shared" si="3"/>
        <v>-0.0560700000000001</v>
      </c>
      <c r="X16" s="13" t="e">
        <f ca="1" t="shared" si="3"/>
        <v>#REF!</v>
      </c>
      <c r="Y16" s="13" t="e">
        <f ca="1" t="shared" si="3"/>
        <v>#REF!</v>
      </c>
      <c r="Z16" s="13" t="e">
        <f ca="1" t="shared" si="3"/>
        <v>#REF!</v>
      </c>
      <c r="AA16" s="13">
        <f t="shared" si="3"/>
        <v>1.323986</v>
      </c>
      <c r="AB16" s="13" t="e">
        <f ca="1" t="shared" si="3"/>
        <v>#REF!</v>
      </c>
    </row>
    <row r="17" s="2" customFormat="1" customHeight="1" spans="1:28">
      <c r="A17" s="18" t="s">
        <v>109</v>
      </c>
      <c r="B17" s="15" t="s">
        <v>110</v>
      </c>
      <c r="C17" s="15" t="s">
        <v>108</v>
      </c>
      <c r="D17" s="9">
        <f>SUMIF(累计考核费用!$B$107:$B$156,原格式费用考核表!$B17,累计考核费用!C$107:C$156)/10000</f>
        <v>2824.718526</v>
      </c>
      <c r="E17" s="9">
        <f>SUMIF(累计考核费用!$B$107:$B$156,原格式费用考核表!$B17,累计考核费用!D$107:D$156)/10000</f>
        <v>0.5182</v>
      </c>
      <c r="F17" s="9">
        <f>SUMIF(累计考核费用!$B$107:$B$156,原格式费用考核表!$B17,累计考核费用!E$107:E$156)/10000</f>
        <v>348.207618</v>
      </c>
      <c r="G17" s="9">
        <f>SUMIF(累计考核费用!$B$107:$B$156,原格式费用考核表!$B17,累计考核费用!F$107:F$156)/10000</f>
        <v>1363.445172</v>
      </c>
      <c r="H17" s="9">
        <f>SUMIF(累计考核费用!$B$107:$B$156,原格式费用考核表!$B17,累计考核费用!G$107:G$156)/10000</f>
        <v>85.53379</v>
      </c>
      <c r="I17" s="9">
        <f>SUMIF(累计考核费用!$B$107:$B$156,原格式费用考核表!$B17,累计考核费用!L$107:L$156)/10000</f>
        <v>115.998153</v>
      </c>
      <c r="J17" s="9">
        <f>SUMIF(累计考核费用!$B$107:$B$156,原格式费用考核表!$B17,累计考核费用!M$107:M$156)/10000</f>
        <v>14.299465</v>
      </c>
      <c r="K17" s="9">
        <f>SUMIF(累计考核费用!$B$107:$B$156,原格式费用考核表!$B17,累计考核费用!Q$107:Q$156)/10000</f>
        <v>19.118493</v>
      </c>
      <c r="L17" s="9">
        <f>SUMIF(累计考核费用!$B$107:$B$156,原格式费用考核表!$B17,累计考核费用!P$107:P$156)/10000</f>
        <v>26.745619</v>
      </c>
      <c r="M17" s="9">
        <f>SUMIF(累计考核费用!$B$107:$B$156,原格式费用考核表!$B17,累计考核费用!O$107:O$156)/10000</f>
        <v>16.831315</v>
      </c>
      <c r="N17" s="9">
        <f>SUMIF(累计考核费用!$B$107:$B$156,原格式费用考核表!$B17,累计考核费用!R$107:R$156)/10000</f>
        <v>20.562484</v>
      </c>
      <c r="O17" s="9" t="e">
        <f ca="1">SUMIF(累计考核费用!$B$107:$B$156,原格式费用考核表!$B17,累计考核费用!#REF!)/10000</f>
        <v>#REF!</v>
      </c>
      <c r="P17" s="9">
        <f>SUMIF(累计考核费用!$B$107:$B$156,原格式费用考核表!$B17,累计考核费用!S$107:S$156)/10000</f>
        <v>19.835191</v>
      </c>
      <c r="Q17" s="9" t="e">
        <f ca="1">SUMIF(累计考核费用!$B$107:$B$156,原格式费用考核表!$B17,累计考核费用!#REF!)/10000</f>
        <v>#REF!</v>
      </c>
      <c r="R17" s="9">
        <f>SUMIF(累计考核费用!$B$107:$B$156,原格式费用考核表!$B17,累计考核费用!T$107:T$156)/10000</f>
        <v>911.015593</v>
      </c>
      <c r="S17" s="9">
        <f>SUMIF(累计考核费用!$B$107:$B$156,原格式费用考核表!$B17,累计考核费用!U$107:U$156)/10000</f>
        <v>81.330443</v>
      </c>
      <c r="T17" s="9" t="e">
        <f ca="1">SUMIF(累计考核费用!$B$107:$B$156,原格式费用考核表!$B17,累计考核费用!#REF!)/10000</f>
        <v>#REF!</v>
      </c>
      <c r="U17" s="9">
        <f>SUMIF(累计考核费用!$B$107:$B$156,原格式费用考核表!$B17,累计考核费用!V$107:V$156)/10000</f>
        <v>595.102926</v>
      </c>
      <c r="V17" s="9">
        <f>SUMIF(累计考核费用!$B$107:$B$156,原格式费用考核表!$B17,累计考核费用!W$107:W$156)/10000</f>
        <v>152.368397</v>
      </c>
      <c r="W17" s="9">
        <f>SUMIF(累计考核费用!$B$107:$B$156,原格式费用考核表!$B17,累计考核费用!AB$107:AB$156)/10000</f>
        <v>37.273303</v>
      </c>
      <c r="X17" s="9" t="e">
        <f ca="1">SUMIF(累计考核费用!$B$107:$B$156,原格式费用考核表!$B17,累计考核费用!#REF!)/10000</f>
        <v>#REF!</v>
      </c>
      <c r="Y17" s="9" t="e">
        <f ca="1">SUMIF(累计考核费用!$B$107:$B$156,原格式费用考核表!$B17,累计考核费用!#REF!)/10000</f>
        <v>#REF!</v>
      </c>
      <c r="Z17" s="9" t="e">
        <f ca="1">SUMIF(累计考核费用!$B$107:$B$156,原格式费用考核表!$B17,累计考核费用!#REF!)/10000</f>
        <v>#REF!</v>
      </c>
      <c r="AA17" s="9">
        <f>SUMIF(累计考核费用!$B$107:$B$156,原格式费用考核表!$B17,累计考核费用!AC$107:AC$156)/10000</f>
        <v>21.005729</v>
      </c>
      <c r="AB17" s="9" t="e">
        <f ca="1">SUMIF(累计考核费用!$B$107:$B$156,原格式费用考核表!$B17,累计考核费用!#REF!)/10000</f>
        <v>#REF!</v>
      </c>
    </row>
    <row r="18" s="2" customFormat="1" customHeight="1" spans="1:28">
      <c r="A18" s="19"/>
      <c r="B18" s="15" t="s">
        <v>111</v>
      </c>
      <c r="C18" s="15" t="s">
        <v>102</v>
      </c>
      <c r="D18" s="9">
        <f>SUMIF(累计考核费用!$B$107:$B$156,原格式费用考核表!$B18,累计考核费用!C$107:C$156)/10000</f>
        <v>1730.457067</v>
      </c>
      <c r="E18" s="9">
        <f>SUMIF(累计考核费用!$B$107:$B$156,原格式费用考核表!$B18,累计考核费用!D$107:D$156)/10000</f>
        <v>5.0672</v>
      </c>
      <c r="F18" s="9">
        <f>SUMIF(累计考核费用!$B$107:$B$156,原格式费用考核表!$B18,累计考核费用!E$107:E$156)/10000</f>
        <v>315.5608</v>
      </c>
      <c r="G18" s="9">
        <f>SUMIF(累计考核费用!$B$107:$B$156,原格式费用考核表!$B18,累计考核费用!F$107:F$156)/10000</f>
        <v>318.145369</v>
      </c>
      <c r="H18" s="9">
        <f>SUMIF(累计考核费用!$B$107:$B$156,原格式费用考核表!$B18,累计考核费用!G$107:G$156)/10000</f>
        <v>51.251687</v>
      </c>
      <c r="I18" s="9">
        <f>SUMIF(累计考核费用!$B$107:$B$156,原格式费用考核表!$B18,累计考核费用!L$107:L$156)/10000</f>
        <v>93.763935</v>
      </c>
      <c r="J18" s="9">
        <f>SUMIF(累计考核费用!$B$107:$B$156,原格式费用考核表!$B18,累计考核费用!M$107:M$156)/10000</f>
        <v>11.542951</v>
      </c>
      <c r="K18" s="9">
        <f>SUMIF(累计考核费用!$B$107:$B$156,原格式费用考核表!$B18,累计考核费用!Q$107:Q$156)/10000</f>
        <v>22.571281</v>
      </c>
      <c r="L18" s="9">
        <f>SUMIF(累计考核费用!$B$107:$B$156,原格式费用考核表!$B18,累计考核费用!P$107:P$156)/10000</f>
        <v>14.622864</v>
      </c>
      <c r="M18" s="9">
        <f>SUMIF(累计考核费用!$B$107:$B$156,原格式费用考核表!$B18,累计考核费用!O$107:O$156)/10000</f>
        <v>13.743514</v>
      </c>
      <c r="N18" s="9">
        <f>SUMIF(累计考核费用!$B$107:$B$156,原格式费用考核表!$B18,累计考核费用!R$107:R$156)/10000</f>
        <v>18.268213</v>
      </c>
      <c r="O18" s="9" t="e">
        <f ca="1">SUMIF(累计考核费用!$B$107:$B$156,原格式费用考核表!$B18,累计考核费用!#REF!)/10000</f>
        <v>#REF!</v>
      </c>
      <c r="P18" s="9">
        <f>SUMIF(累计考核费用!$B$107:$B$156,原格式费用考核表!$B18,累计考核费用!S$107:S$156)/10000</f>
        <v>17.446859</v>
      </c>
      <c r="Q18" s="9" t="e">
        <f ca="1">SUMIF(累计考核费用!$B$107:$B$156,原格式费用考核表!$B18,累计考核费用!#REF!)/10000</f>
        <v>#REF!</v>
      </c>
      <c r="R18" s="9">
        <f>SUMIF(累计考核费用!$B$107:$B$156,原格式费用考核表!$B18,累计考核费用!T$107:T$156)/10000</f>
        <v>946.668076</v>
      </c>
      <c r="S18" s="9">
        <f>SUMIF(累计考核费用!$B$107:$B$156,原格式费用考核表!$B18,累计考核费用!U$107:U$156)/10000</f>
        <v>91.464977</v>
      </c>
      <c r="T18" s="9" t="e">
        <f ca="1">SUMIF(累计考核费用!$B$107:$B$156,原格式费用考核表!$B18,累计考核费用!#REF!)/10000</f>
        <v>#REF!</v>
      </c>
      <c r="U18" s="9">
        <f>SUMIF(累计考核费用!$B$107:$B$156,原格式费用考核表!$B18,累计考核费用!V$107:V$156)/10000</f>
        <v>560.564449</v>
      </c>
      <c r="V18" s="9">
        <f>SUMIF(累计考核费用!$B$107:$B$156,原格式费用考核表!$B18,累计考核费用!W$107:W$156)/10000</f>
        <v>148.032555</v>
      </c>
      <c r="W18" s="9">
        <f>SUMIF(累计考核费用!$B$107:$B$156,原格式费用考核表!$B18,累计考核费用!AB$107:AB$156)/10000</f>
        <v>53.136893</v>
      </c>
      <c r="X18" s="9" t="e">
        <f ca="1">SUMIF(累计考核费用!$B$107:$B$156,原格式费用考核表!$B18,累计考核费用!#REF!)/10000</f>
        <v>#REF!</v>
      </c>
      <c r="Y18" s="9" t="e">
        <f ca="1">SUMIF(累计考核费用!$B$107:$B$156,原格式费用考核表!$B18,累计考核费用!#REF!)/10000</f>
        <v>#REF!</v>
      </c>
      <c r="Z18" s="9" t="e">
        <f ca="1">SUMIF(累计考核费用!$B$107:$B$156,原格式费用考核表!$B18,累计考核费用!#REF!)/10000</f>
        <v>#REF!</v>
      </c>
      <c r="AA18" s="9">
        <f>SUMIF(累计考核费用!$B$107:$B$156,原格式费用考核表!$B18,累计考核费用!AC$107:AC$156)/10000</f>
        <v>8.195288</v>
      </c>
      <c r="AB18" s="9" t="e">
        <f ca="1">SUMIF(累计考核费用!$B$107:$B$156,原格式费用考核表!$B18,累计考核费用!#REF!)/10000</f>
        <v>#REF!</v>
      </c>
    </row>
    <row r="19" s="2" customFormat="1" customHeight="1" spans="1:28">
      <c r="A19" s="19"/>
      <c r="B19" s="15" t="s">
        <v>124</v>
      </c>
      <c r="C19" s="15" t="s">
        <v>110</v>
      </c>
      <c r="D19" s="9">
        <f>SUMIF(累计考核费用!$B$107:$B$156,原格式费用考核表!$B19,累计考核费用!C$107:C$156)/10000</f>
        <v>421.357585</v>
      </c>
      <c r="E19" s="9">
        <f>SUMIF(累计考核费用!$B$107:$B$156,原格式费用考核表!$B19,累计考核费用!D$107:D$156)/10000</f>
        <v>0</v>
      </c>
      <c r="F19" s="9">
        <f>SUMIF(累计考核费用!$B$107:$B$156,原格式费用考核表!$B19,累计考核费用!E$107:E$156)/10000</f>
        <v>116.136653</v>
      </c>
      <c r="G19" s="9">
        <f>SUMIF(累计考核费用!$B$107:$B$156,原格式费用考核表!$B19,累计考核费用!F$107:F$156)/10000</f>
        <v>279.185791</v>
      </c>
      <c r="H19" s="9">
        <f>SUMIF(累计考核费用!$B$107:$B$156,原格式费用考核表!$B19,累计考核费用!G$107:G$156)/10000</f>
        <v>4.590683</v>
      </c>
      <c r="I19" s="9">
        <f>SUMIF(累计考核费用!$B$107:$B$156,原格式费用考核表!$B19,累计考核费用!L$107:L$156)/10000</f>
        <v>13.726477</v>
      </c>
      <c r="J19" s="9">
        <f>SUMIF(累计考核费用!$B$107:$B$156,原格式费用考核表!$B19,累计考核费用!M$107:M$156)/10000</f>
        <v>2.169654</v>
      </c>
      <c r="K19" s="9">
        <f>SUMIF(累计考核费用!$B$107:$B$156,原格式费用考核表!$B19,累计考核费用!Q$107:Q$156)/10000</f>
        <v>2.184255</v>
      </c>
      <c r="L19" s="9">
        <f>SUMIF(累计考核费用!$B$107:$B$156,原格式费用考核表!$B19,累计考核费用!P$107:P$156)/10000</f>
        <v>2.51843</v>
      </c>
      <c r="M19" s="9">
        <f>SUMIF(累计考核费用!$B$107:$B$156,原格式费用考核表!$B19,累计考核费用!O$107:O$156)/10000</f>
        <v>2.169654</v>
      </c>
      <c r="N19" s="9">
        <f>SUMIF(累计考核费用!$B$107:$B$156,原格式费用考核表!$B19,累计考核费用!R$107:R$156)/10000</f>
        <v>2.51483</v>
      </c>
      <c r="O19" s="9" t="e">
        <f ca="1">SUMIF(累计考核费用!$B$107:$B$156,原格式费用考核表!$B19,累计考核费用!#REF!)/10000</f>
        <v>#REF!</v>
      </c>
      <c r="P19" s="9">
        <f>SUMIF(累计考核费用!$B$107:$B$156,原格式费用考核表!$B19,累计考核费用!S$107:S$156)/10000</f>
        <v>3.689051</v>
      </c>
      <c r="Q19" s="9" t="e">
        <f ca="1">SUMIF(累计考核费用!$B$107:$B$156,原格式费用考核表!$B19,累计考核费用!#REF!)/10000</f>
        <v>#REF!</v>
      </c>
      <c r="R19" s="9">
        <f>SUMIF(累计考核费用!$B$107:$B$156,原格式费用考核表!$B19,累计考核费用!T$107:T$156)/10000</f>
        <v>7.717981</v>
      </c>
      <c r="S19" s="9">
        <f>SUMIF(累计考核费用!$B$107:$B$156,原格式费用考核表!$B19,累计考核费用!U$107:U$156)/10000</f>
        <v>0</v>
      </c>
      <c r="T19" s="9" t="e">
        <f ca="1">SUMIF(累计考核费用!$B$107:$B$156,原格式费用考核表!$B19,累计考核费用!#REF!)/10000</f>
        <v>#REF!</v>
      </c>
      <c r="U19" s="9">
        <f>SUMIF(累计考核费用!$B$107:$B$156,原格式费用考核表!$B19,累计考核费用!V$107:V$156)/10000</f>
        <v>4.758301</v>
      </c>
      <c r="V19" s="9">
        <f>SUMIF(累计考核费用!$B$107:$B$156,原格式费用考核表!$B19,累计考核费用!W$107:W$156)/10000</f>
        <v>2.95968</v>
      </c>
      <c r="W19" s="9">
        <f>SUMIF(累计考核费用!$B$107:$B$156,原格式费用考核表!$B19,累计考核费用!AB$107:AB$156)/10000</f>
        <v>1.275119</v>
      </c>
      <c r="X19" s="9" t="e">
        <f ca="1">SUMIF(累计考核费用!$B$107:$B$156,原格式费用考核表!$B19,累计考核费用!#REF!)/10000</f>
        <v>#REF!</v>
      </c>
      <c r="Y19" s="9" t="e">
        <f ca="1">SUMIF(累计考核费用!$B$107:$B$156,原格式费用考核表!$B19,累计考核费用!#REF!)/10000</f>
        <v>#REF!</v>
      </c>
      <c r="Z19" s="9" t="e">
        <f ca="1">SUMIF(累计考核费用!$B$107:$B$156,原格式费用考核表!$B19,累计考核费用!#REF!)/10000</f>
        <v>#REF!</v>
      </c>
      <c r="AA19" s="9">
        <f>SUMIF(累计考核费用!$B$107:$B$156,原格式费用考核表!$B19,累计考核费用!AC$107:AC$156)/10000</f>
        <v>5.127386</v>
      </c>
      <c r="AB19" s="9" t="e">
        <f ca="1">SUMIF(累计考核费用!$B$107:$B$156,原格式费用考核表!$B19,累计考核费用!#REF!)/10000</f>
        <v>#REF!</v>
      </c>
    </row>
    <row r="20" s="2" customFormat="1" customHeight="1" spans="1:28">
      <c r="A20" s="19"/>
      <c r="B20" s="15" t="s">
        <v>125</v>
      </c>
      <c r="C20" s="15" t="s">
        <v>111</v>
      </c>
      <c r="D20" s="9">
        <f>SUMIF(累计考核费用!$B$107:$B$156,原格式费用考核表!$B20,累计考核费用!C$107:C$156)/10000</f>
        <v>442.53596</v>
      </c>
      <c r="E20" s="9">
        <f>SUMIF(累计考核费用!$B$107:$B$156,原格式费用考核表!$B20,累计考核费用!D$107:D$156)/10000</f>
        <v>0</v>
      </c>
      <c r="F20" s="9">
        <f>SUMIF(累计考核费用!$B$107:$B$156,原格式费用考核表!$B20,累计考核费用!E$107:E$156)/10000</f>
        <v>145.810426</v>
      </c>
      <c r="G20" s="9">
        <f>SUMIF(累计考核费用!$B$107:$B$156,原格式费用考核表!$B20,累计考核费用!F$107:F$156)/10000</f>
        <v>239.899836</v>
      </c>
      <c r="H20" s="9">
        <f>SUMIF(累计考核费用!$B$107:$B$156,原格式费用考核表!$B20,累计考核费用!G$107:G$156)/10000</f>
        <v>9.898042</v>
      </c>
      <c r="I20" s="9">
        <f>SUMIF(累计考核费用!$B$107:$B$156,原格式费用考核表!$B20,累计考核费用!L$107:L$156)/10000</f>
        <v>20.664786</v>
      </c>
      <c r="J20" s="9">
        <f>SUMIF(累计考核费用!$B$107:$B$156,原格式费用考核表!$B20,累计考核费用!M$107:M$156)/10000</f>
        <v>3.227505</v>
      </c>
      <c r="K20" s="9">
        <f>SUMIF(累计考核费用!$B$107:$B$156,原格式费用考核表!$B20,累计考核费用!Q$107:Q$156)/10000</f>
        <v>2.421821</v>
      </c>
      <c r="L20" s="9">
        <f>SUMIF(累计考核费用!$B$107:$B$156,原格式费用考核表!$B20,累计考核费用!P$107:P$156)/10000</f>
        <v>4.784948</v>
      </c>
      <c r="M20" s="9">
        <f>SUMIF(累计考核费用!$B$107:$B$156,原格式费用考核表!$B20,累计考核费用!O$107:O$156)/10000</f>
        <v>3.018722</v>
      </c>
      <c r="N20" s="9">
        <f>SUMIF(累计考核费用!$B$107:$B$156,原格式费用考核表!$B20,累计考核费用!R$107:R$156)/10000</f>
        <v>2.850791</v>
      </c>
      <c r="O20" s="9" t="e">
        <f ca="1">SUMIF(累计考核费用!$B$107:$B$156,原格式费用考核表!$B20,累计考核费用!#REF!)/10000</f>
        <v>#REF!</v>
      </c>
      <c r="P20" s="9">
        <f>SUMIF(累计考核费用!$B$107:$B$156,原格式费用考核表!$B20,累计考核费用!S$107:S$156)/10000</f>
        <v>18.987943</v>
      </c>
      <c r="Q20" s="9" t="e">
        <f ca="1">SUMIF(累计考核费用!$B$107:$B$156,原格式费用考核表!$B20,累计考核费用!#REF!)/10000</f>
        <v>#REF!</v>
      </c>
      <c r="R20" s="9">
        <f>SUMIF(累计考核费用!$B$107:$B$156,原格式费用考核表!$B20,累计考核费用!T$107:T$156)/10000</f>
        <v>26.26287</v>
      </c>
      <c r="S20" s="9">
        <f>SUMIF(累计考核费用!$B$107:$B$156,原格式费用考核表!$B20,累计考核费用!U$107:U$156)/10000</f>
        <v>6.942473</v>
      </c>
      <c r="T20" s="9" t="e">
        <f ca="1">SUMIF(累计考核费用!$B$107:$B$156,原格式费用考核表!$B20,累计考核费用!#REF!)/10000</f>
        <v>#REF!</v>
      </c>
      <c r="U20" s="9">
        <f>SUMIF(累计考核费用!$B$107:$B$156,原格式费用考核表!$B20,累计考核费用!V$107:V$156)/10000</f>
        <v>10.628655</v>
      </c>
      <c r="V20" s="9">
        <f>SUMIF(累计考核费用!$B$107:$B$156,原格式费用考核表!$B20,累计考核费用!W$107:W$156)/10000</f>
        <v>5.499516</v>
      </c>
      <c r="W20" s="9">
        <f>SUMIF(累计考核费用!$B$107:$B$156,原格式费用考核表!$B20,累计考核费用!AB$107:AB$156)/10000</f>
        <v>5.523933</v>
      </c>
      <c r="X20" s="9" t="e">
        <f ca="1">SUMIF(累计考核费用!$B$107:$B$156,原格式费用考核表!$B20,累计考核费用!#REF!)/10000</f>
        <v>#REF!</v>
      </c>
      <c r="Y20" s="9" t="e">
        <f ca="1">SUMIF(累计考核费用!$B$107:$B$156,原格式费用考核表!$B20,累计考核费用!#REF!)/10000</f>
        <v>#REF!</v>
      </c>
      <c r="Z20" s="9" t="e">
        <f ca="1">SUMIF(累计考核费用!$B$107:$B$156,原格式费用考核表!$B20,累计考核费用!#REF!)/10000</f>
        <v>#REF!</v>
      </c>
      <c r="AA20" s="9">
        <f>SUMIF(累计考核费用!$B$107:$B$156,原格式费用考核表!$B20,累计考核费用!AC$107:AC$156)/10000</f>
        <v>15.640811</v>
      </c>
      <c r="AB20" s="9" t="e">
        <f ca="1">SUMIF(累计考核费用!$B$107:$B$156,原格式费用考核表!$B20,累计考核费用!#REF!)/10000</f>
        <v>#REF!</v>
      </c>
    </row>
    <row r="21" s="2" customFormat="1" customHeight="1" spans="1:28">
      <c r="A21" s="19"/>
      <c r="B21" s="15" t="s">
        <v>112</v>
      </c>
      <c r="C21" s="15" t="s">
        <v>112</v>
      </c>
      <c r="D21" s="9">
        <f>SUMIF(累计考核费用!$B$107:$B$156,原格式费用考核表!$B21,累计考核费用!C$107:C$156)/10000</f>
        <v>544.515472</v>
      </c>
      <c r="E21" s="9">
        <f>SUMIF(累计考核费用!$B$107:$B$156,原格式费用考核表!$B21,累计考核费用!D$107:D$156)/10000</f>
        <v>0</v>
      </c>
      <c r="F21" s="9">
        <f>SUMIF(累计考核费用!$B$107:$B$156,原格式费用考核表!$B21,累计考核费用!E$107:E$156)/10000</f>
        <v>176.719007</v>
      </c>
      <c r="G21" s="9">
        <f>SUMIF(累计考核费用!$B$107:$B$156,原格式费用考核表!$B21,累计考核费用!F$107:F$156)/10000</f>
        <v>232.991385</v>
      </c>
      <c r="H21" s="9">
        <f>SUMIF(累计考核费用!$B$107:$B$156,原格式费用考核表!$B21,累计考核费用!G$107:G$156)/10000</f>
        <v>11.304676</v>
      </c>
      <c r="I21" s="9">
        <f>SUMIF(累计考核费用!$B$107:$B$156,原格式费用考核表!$B21,累计考核费用!L$107:L$156)/10000</f>
        <v>8.260036</v>
      </c>
      <c r="J21" s="9">
        <f>SUMIF(累计考核费用!$B$107:$B$156,原格式费用考核表!$B21,累计考核费用!M$107:M$156)/10000</f>
        <v>0.77217</v>
      </c>
      <c r="K21" s="9">
        <f>SUMIF(累计考核费用!$B$107:$B$156,原格式费用考核表!$B21,累计考核费用!Q$107:Q$156)/10000</f>
        <v>0.976487</v>
      </c>
      <c r="L21" s="9">
        <f>SUMIF(累计考核费用!$B$107:$B$156,原格式费用考核表!$B21,累计考核费用!P$107:P$156)/10000</f>
        <v>1.791493</v>
      </c>
      <c r="M21" s="9">
        <f>SUMIF(累计考核费用!$B$107:$B$156,原格式费用考核表!$B21,累计考核费用!O$107:O$156)/10000</f>
        <v>0.742219</v>
      </c>
      <c r="N21" s="9">
        <f>SUMIF(累计考核费用!$B$107:$B$156,原格式费用考核表!$B21,累计考核费用!R$107:R$156)/10000</f>
        <v>2.592288</v>
      </c>
      <c r="O21" s="9" t="e">
        <f ca="1">SUMIF(累计考核费用!$B$107:$B$156,原格式费用考核表!$B21,累计考核费用!#REF!)/10000</f>
        <v>#REF!</v>
      </c>
      <c r="P21" s="9">
        <f>SUMIF(累计考核费用!$B$107:$B$156,原格式费用考核表!$B21,累计考核费用!S$107:S$156)/10000</f>
        <v>0.50586</v>
      </c>
      <c r="Q21" s="9" t="e">
        <f ca="1">SUMIF(累计考核费用!$B$107:$B$156,原格式费用考核表!$B21,累计考核费用!#REF!)/10000</f>
        <v>#REF!</v>
      </c>
      <c r="R21" s="9">
        <f>SUMIF(累计考核费用!$B$107:$B$156,原格式费用考核表!$B21,累计考核费用!T$107:T$156)/10000</f>
        <v>115.240368</v>
      </c>
      <c r="S21" s="9">
        <f>SUMIF(累计考核费用!$B$107:$B$156,原格式费用考核表!$B21,累计考核费用!U$107:U$156)/10000</f>
        <v>13.909941</v>
      </c>
      <c r="T21" s="9" t="e">
        <f ca="1">SUMIF(累计考核费用!$B$107:$B$156,原格式费用考核表!$B21,累计考核费用!#REF!)/10000</f>
        <v>#REF!</v>
      </c>
      <c r="U21" s="9">
        <f>SUMIF(累计考核费用!$B$107:$B$156,原格式费用考核表!$B21,累计考核费用!V$107:V$156)/10000</f>
        <v>70.9392</v>
      </c>
      <c r="V21" s="9">
        <f>SUMIF(累计考核费用!$B$107:$B$156,原格式费用考核表!$B21,累计考核费用!W$107:W$156)/10000</f>
        <v>24.56592</v>
      </c>
      <c r="W21" s="9">
        <f>SUMIF(累计考核费用!$B$107:$B$156,原格式费用考核表!$B21,累计考核费用!AB$107:AB$156)/10000</f>
        <v>9.892742</v>
      </c>
      <c r="X21" s="9" t="e">
        <f ca="1">SUMIF(累计考核费用!$B$107:$B$156,原格式费用考核表!$B21,累计考核费用!#REF!)/10000</f>
        <v>#REF!</v>
      </c>
      <c r="Y21" s="9" t="e">
        <f ca="1">SUMIF(累计考核费用!$B$107:$B$156,原格式费用考核表!$B21,累计考核费用!#REF!)/10000</f>
        <v>#REF!</v>
      </c>
      <c r="Z21" s="9" t="e">
        <f ca="1">SUMIF(累计考核费用!$B$107:$B$156,原格式费用考核表!$B21,累计考核费用!#REF!)/10000</f>
        <v>#REF!</v>
      </c>
      <c r="AA21" s="9">
        <f>SUMIF(累计考核费用!$B$107:$B$156,原格式费用考核表!$B21,累计考核费用!AC$107:AC$156)/10000</f>
        <v>4.297575</v>
      </c>
      <c r="AB21" s="9" t="e">
        <f ca="1">SUMIF(累计考核费用!$B$107:$B$156,原格式费用考核表!$B21,累计考核费用!#REF!)/10000</f>
        <v>#REF!</v>
      </c>
    </row>
    <row r="22" s="2" customFormat="1" customHeight="1" spans="1:28">
      <c r="A22" s="19"/>
      <c r="B22" s="15" t="s">
        <v>113</v>
      </c>
      <c r="C22" s="15" t="s">
        <v>113</v>
      </c>
      <c r="D22" s="9">
        <f>SUMIF(累计考核费用!$B$107:$B$156,原格式费用考核表!$B22,累计考核费用!C$107:C$156)/10000</f>
        <v>248.462805</v>
      </c>
      <c r="E22" s="9">
        <f>SUMIF(累计考核费用!$B$107:$B$156,原格式费用考核表!$B22,累计考核费用!D$107:D$156)/10000</f>
        <v>0</v>
      </c>
      <c r="F22" s="9">
        <f>SUMIF(累计考核费用!$B$107:$B$156,原格式费用考核表!$B22,累计考核费用!E$107:E$156)/10000</f>
        <v>59.755657</v>
      </c>
      <c r="G22" s="9">
        <f>SUMIF(累计考核费用!$B$107:$B$156,原格式费用考核表!$B22,累计考核费用!F$107:F$156)/10000</f>
        <v>131.799101</v>
      </c>
      <c r="H22" s="9">
        <f>SUMIF(累计考核费用!$B$107:$B$156,原格式费用考核表!$B22,累计考核费用!G$107:G$156)/10000</f>
        <v>2.409414</v>
      </c>
      <c r="I22" s="9">
        <f>SUMIF(累计考核费用!$B$107:$B$156,原格式费用考核表!$B22,累计考核费用!L$107:L$156)/10000</f>
        <v>1.694114</v>
      </c>
      <c r="J22" s="9">
        <f>SUMIF(累计考核费用!$B$107:$B$156,原格式费用考核表!$B22,累计考核费用!M$107:M$156)/10000</f>
        <v>0.246631</v>
      </c>
      <c r="K22" s="9">
        <f>SUMIF(累计考核费用!$B$107:$B$156,原格式费用考核表!$B22,累计考核费用!Q$107:Q$156)/10000</f>
        <v>0.071976</v>
      </c>
      <c r="L22" s="9">
        <f>SUMIF(累计考核费用!$B$107:$B$156,原格式费用考核表!$B22,累计考核费用!P$107:P$156)/10000</f>
        <v>0.071745</v>
      </c>
      <c r="M22" s="9">
        <f>SUMIF(累计考核费用!$B$107:$B$156,原格式费用考核表!$B22,累计考核费用!O$107:O$156)/10000</f>
        <v>0.246632</v>
      </c>
      <c r="N22" s="9">
        <f>SUMIF(累计考核费用!$B$107:$B$156,原格式费用考核表!$B22,累计考核费用!R$107:R$156)/10000</f>
        <v>0.630598</v>
      </c>
      <c r="O22" s="9" t="e">
        <f ca="1">SUMIF(累计考核费用!$B$107:$B$156,原格式费用考核表!$B22,累计考核费用!#REF!)/10000</f>
        <v>#REF!</v>
      </c>
      <c r="P22" s="9">
        <f>SUMIF(累计考核费用!$B$107:$B$156,原格式费用考核表!$B22,累计考核费用!S$107:S$156)/10000</f>
        <v>0.767736</v>
      </c>
      <c r="Q22" s="9" t="e">
        <f ca="1">SUMIF(累计考核费用!$B$107:$B$156,原格式费用考核表!$B22,累计考核费用!#REF!)/10000</f>
        <v>#REF!</v>
      </c>
      <c r="R22" s="9">
        <f>SUMIF(累计考核费用!$B$107:$B$156,原格式费用考核表!$B22,累计考核费用!T$107:T$156)/10000</f>
        <v>52.804519</v>
      </c>
      <c r="S22" s="9">
        <f>SUMIF(累计考核费用!$B$107:$B$156,原格式费用考核表!$B22,累计考核费用!U$107:U$156)/10000</f>
        <v>4.486964</v>
      </c>
      <c r="T22" s="9" t="e">
        <f ca="1">SUMIF(累计考核费用!$B$107:$B$156,原格式费用考核表!$B22,累计考核费用!#REF!)/10000</f>
        <v>#REF!</v>
      </c>
      <c r="U22" s="9">
        <f>SUMIF(累计考核费用!$B$107:$B$156,原格式费用考核表!$B22,累计考核费用!V$107:V$156)/10000</f>
        <v>33.103337</v>
      </c>
      <c r="V22" s="9">
        <f>SUMIF(累计考核费用!$B$107:$B$156,原格式费用考核表!$B22,累计考核费用!W$107:W$156)/10000</f>
        <v>14.036623</v>
      </c>
      <c r="W22" s="9">
        <f>SUMIF(累计考核费用!$B$107:$B$156,原格式费用考核表!$B22,累计考核费用!AB$107:AB$156)/10000</f>
        <v>4.320891</v>
      </c>
      <c r="X22" s="9" t="e">
        <f ca="1">SUMIF(累计考核费用!$B$107:$B$156,原格式费用考核表!$B22,累计考核费用!#REF!)/10000</f>
        <v>#REF!</v>
      </c>
      <c r="Y22" s="9" t="e">
        <f ca="1">SUMIF(累计考核费用!$B$107:$B$156,原格式费用考核表!$B22,累计考核费用!#REF!)/10000</f>
        <v>#REF!</v>
      </c>
      <c r="Z22" s="9" t="e">
        <f ca="1">SUMIF(累计考核费用!$B$107:$B$156,原格式费用考核表!$B22,累计考核费用!#REF!)/10000</f>
        <v>#REF!</v>
      </c>
      <c r="AA22" s="9">
        <f>SUMIF(累计考核费用!$B$107:$B$156,原格式费用考核表!$B22,累计考核费用!AC$107:AC$156)/10000</f>
        <v>2.837002</v>
      </c>
      <c r="AB22" s="9" t="e">
        <f ca="1">SUMIF(累计考核费用!$B$107:$B$156,原格式费用考核表!$B22,累计考核费用!#REF!)/10000</f>
        <v>#REF!</v>
      </c>
    </row>
    <row r="23" s="2" customFormat="1" customHeight="1" spans="1:28">
      <c r="A23" s="19"/>
      <c r="B23" s="8" t="s">
        <v>95</v>
      </c>
      <c r="C23" s="8" t="s">
        <v>114</v>
      </c>
      <c r="D23" s="9">
        <f>SUMIF(累计考核费用!$B$107:$B$156,原格式费用考核表!$B23,累计考核费用!C$107:C$156)/10000</f>
        <v>524.82459</v>
      </c>
      <c r="E23" s="9">
        <f>SUMIF(累计考核费用!$B$107:$B$156,原格式费用考核表!$B23,累计考核费用!D$107:D$156)/10000</f>
        <v>0</v>
      </c>
      <c r="F23" s="9">
        <f>SUMIF(累计考核费用!$B$107:$B$156,原格式费用考核表!$B23,累计考核费用!E$107:E$156)/10000</f>
        <v>90.266709</v>
      </c>
      <c r="G23" s="9">
        <f>SUMIF(累计考核费用!$B$107:$B$156,原格式费用考核表!$B23,累计考核费用!F$107:F$156)/10000</f>
        <v>247.792382</v>
      </c>
      <c r="H23" s="9">
        <f>SUMIF(累计考核费用!$B$107:$B$156,原格式费用考核表!$B23,累计考核费用!G$107:G$156)/10000</f>
        <v>11.521228</v>
      </c>
      <c r="I23" s="9">
        <f>SUMIF(累计考核费用!$B$107:$B$156,原格式费用考核表!$B23,累计考核费用!L$107:L$156)/10000</f>
        <v>21.567932</v>
      </c>
      <c r="J23" s="9">
        <f>SUMIF(累计考核费用!$B$107:$B$156,原格式费用考核表!$B23,累计考核费用!M$107:M$156)/10000</f>
        <v>2.354</v>
      </c>
      <c r="K23" s="9">
        <f>SUMIF(累计考核费用!$B$107:$B$156,原格式费用考核表!$B23,累计考核费用!Q$107:Q$156)/10000</f>
        <v>3.09757</v>
      </c>
      <c r="L23" s="9">
        <f>SUMIF(累计考核费用!$B$107:$B$156,原格式费用考核表!$B23,累计考核费用!P$107:P$156)/10000</f>
        <v>5.970338</v>
      </c>
      <c r="M23" s="9">
        <f>SUMIF(累计考核费用!$B$107:$B$156,原格式费用考核表!$B23,累计考核费用!O$107:O$156)/10000</f>
        <v>1.503365</v>
      </c>
      <c r="N23" s="9">
        <f>SUMIF(累计考核费用!$B$107:$B$156,原格式费用考核表!$B23,累计考核费用!R$107:R$156)/10000</f>
        <v>3.479824</v>
      </c>
      <c r="O23" s="9" t="e">
        <f ca="1">SUMIF(累计考核费用!$B$107:$B$156,原格式费用考核表!$B23,累计考核费用!#REF!)/10000</f>
        <v>#REF!</v>
      </c>
      <c r="P23" s="9">
        <f>SUMIF(累计考核费用!$B$107:$B$156,原格式费用考核表!$B23,累计考核费用!S$107:S$156)/10000</f>
        <v>2.662439</v>
      </c>
      <c r="Q23" s="9" t="e">
        <f ca="1">SUMIF(累计考核费用!$B$107:$B$156,原格式费用考核表!$B23,累计考核费用!#REF!)/10000</f>
        <v>#REF!</v>
      </c>
      <c r="R23" s="9">
        <f>SUMIF(累计考核费用!$B$107:$B$156,原格式费用考核表!$B23,累计考核费用!T$107:T$156)/10000</f>
        <v>153.676339</v>
      </c>
      <c r="S23" s="9">
        <f>SUMIF(累计考核费用!$B$107:$B$156,原格式费用考核表!$B23,累计考核费用!U$107:U$156)/10000</f>
        <v>8.977936</v>
      </c>
      <c r="T23" s="9" t="e">
        <f ca="1">SUMIF(累计考核费用!$B$107:$B$156,原格式费用考核表!$B23,累计考核费用!#REF!)/10000</f>
        <v>#REF!</v>
      </c>
      <c r="U23" s="9">
        <f>SUMIF(累计考核费用!$B$107:$B$156,原格式费用考核表!$B23,累计考核费用!V$107:V$156)/10000</f>
        <v>115.870588</v>
      </c>
      <c r="V23" s="9">
        <f>SUMIF(累计考核费用!$B$107:$B$156,原格式费用考核表!$B23,累计考核费用!W$107:W$156)/10000</f>
        <v>24.133791</v>
      </c>
      <c r="W23" s="9">
        <f>SUMIF(累计考核费用!$B$107:$B$156,原格式费用考核表!$B23,累计考核费用!AB$107:AB$156)/10000</f>
        <v>6.037062</v>
      </c>
      <c r="X23" s="9" t="e">
        <f ca="1">SUMIF(累计考核费用!$B$107:$B$156,原格式费用考核表!$B23,累计考核费用!#REF!)/10000</f>
        <v>#REF!</v>
      </c>
      <c r="Y23" s="9" t="e">
        <f ca="1">SUMIF(累计考核费用!$B$107:$B$156,原格式费用考核表!$B23,累计考核费用!#REF!)/10000</f>
        <v>#REF!</v>
      </c>
      <c r="Z23" s="9" t="e">
        <f ca="1">SUMIF(累计考核费用!$B$107:$B$156,原格式费用考核表!$B23,累计考核费用!#REF!)/10000</f>
        <v>#REF!</v>
      </c>
      <c r="AA23" s="9">
        <f>SUMIF(累计考核费用!$B$107:$B$156,原格式费用考核表!$B23,累计考核费用!AC$107:AC$156)/10000</f>
        <v>7.542714</v>
      </c>
      <c r="AB23" s="9" t="e">
        <f ca="1">SUMIF(累计考核费用!$B$107:$B$156,原格式费用考核表!$B23,累计考核费用!#REF!)/10000</f>
        <v>#REF!</v>
      </c>
    </row>
    <row r="24" s="2" customFormat="1" customHeight="1" spans="1:28">
      <c r="A24" s="19"/>
      <c r="B24" s="15" t="s">
        <v>126</v>
      </c>
      <c r="C24" s="15" t="s">
        <v>115</v>
      </c>
      <c r="D24" s="9">
        <f>SUMIF(累计考核费用!$B$107:$B$156,原格式费用考核表!$B24,累计考核费用!C$107:C$156)/10000</f>
        <v>256.021542</v>
      </c>
      <c r="E24" s="9">
        <f>SUMIF(累计考核费用!$B$107:$B$156,原格式费用考核表!$B24,累计考核费用!D$107:D$156)/10000</f>
        <v>0</v>
      </c>
      <c r="F24" s="9">
        <f>SUMIF(累计考核费用!$B$107:$B$156,原格式费用考核表!$B24,累计考核费用!E$107:E$156)/10000</f>
        <v>231.465762</v>
      </c>
      <c r="G24" s="9">
        <f>SUMIF(累计考核费用!$B$107:$B$156,原格式费用考核表!$B24,累计考核费用!F$107:F$156)/10000</f>
        <v>0</v>
      </c>
      <c r="H24" s="9">
        <f>SUMIF(累计考核费用!$B$107:$B$156,原格式费用考核表!$B24,累计考核费用!G$107:G$156)/10000</f>
        <v>0</v>
      </c>
      <c r="I24" s="9">
        <f>SUMIF(累计考核费用!$B$107:$B$156,原格式费用考核表!$B24,累计考核费用!L$107:L$156)/10000</f>
        <v>0</v>
      </c>
      <c r="J24" s="9">
        <f>SUMIF(累计考核费用!$B$107:$B$156,原格式费用考核表!$B24,累计考核费用!M$107:M$156)/10000</f>
        <v>0</v>
      </c>
      <c r="K24" s="9">
        <f>SUMIF(累计考核费用!$B$107:$B$156,原格式费用考核表!$B24,累计考核费用!Q$107:Q$156)/10000</f>
        <v>0</v>
      </c>
      <c r="L24" s="9">
        <f>SUMIF(累计考核费用!$B$107:$B$156,原格式费用考核表!$B24,累计考核费用!P$107:P$156)/10000</f>
        <v>0</v>
      </c>
      <c r="M24" s="9">
        <f>SUMIF(累计考核费用!$B$107:$B$156,原格式费用考核表!$B24,累计考核费用!O$107:O$156)/10000</f>
        <v>0</v>
      </c>
      <c r="N24" s="9">
        <f>SUMIF(累计考核费用!$B$107:$B$156,原格式费用考核表!$B24,累计考核费用!R$107:R$156)/10000</f>
        <v>0</v>
      </c>
      <c r="O24" s="9" t="e">
        <f ca="1">SUMIF(累计考核费用!$B$107:$B$156,原格式费用考核表!$B24,累计考核费用!#REF!)/10000</f>
        <v>#REF!</v>
      </c>
      <c r="P24" s="9">
        <f>SUMIF(累计考核费用!$B$107:$B$156,原格式费用考核表!$B24,累计考核费用!S$107:S$156)/10000</f>
        <v>0</v>
      </c>
      <c r="Q24" s="9" t="e">
        <f ca="1">SUMIF(累计考核费用!$B$107:$B$156,原格式费用考核表!$B24,累计考核费用!#REF!)/10000</f>
        <v>#REF!</v>
      </c>
      <c r="R24" s="9">
        <f>SUMIF(累计考核费用!$B$107:$B$156,原格式费用考核表!$B24,累计考核费用!T$107:T$156)/10000</f>
        <v>24.55578</v>
      </c>
      <c r="S24" s="9">
        <f>SUMIF(累计考核费用!$B$107:$B$156,原格式费用考核表!$B24,累计考核费用!U$107:U$156)/10000</f>
        <v>0</v>
      </c>
      <c r="T24" s="9" t="e">
        <f ca="1">SUMIF(累计考核费用!$B$107:$B$156,原格式费用考核表!$B24,累计考核费用!#REF!)/10000</f>
        <v>#REF!</v>
      </c>
      <c r="U24" s="9">
        <f>SUMIF(累计考核费用!$B$107:$B$156,原格式费用考核表!$B24,累计考核费用!V$107:V$156)/10000</f>
        <v>24.55578</v>
      </c>
      <c r="V24" s="9">
        <f>SUMIF(累计考核费用!$B$107:$B$156,原格式费用考核表!$B24,累计考核费用!W$107:W$156)/10000</f>
        <v>0</v>
      </c>
      <c r="W24" s="9">
        <f>SUMIF(累计考核费用!$B$107:$B$156,原格式费用考核表!$B24,累计考核费用!AB$107:AB$156)/10000</f>
        <v>0</v>
      </c>
      <c r="X24" s="9" t="e">
        <f ca="1">SUMIF(累计考核费用!$B$107:$B$156,原格式费用考核表!$B24,累计考核费用!#REF!)/10000</f>
        <v>#REF!</v>
      </c>
      <c r="Y24" s="9" t="e">
        <f ca="1">SUMIF(累计考核费用!$B$107:$B$156,原格式费用考核表!$B24,累计考核费用!#REF!)/10000</f>
        <v>#REF!</v>
      </c>
      <c r="Z24" s="9" t="e">
        <f ca="1">SUMIF(累计考核费用!$B$107:$B$156,原格式费用考核表!$B24,累计考核费用!#REF!)/10000</f>
        <v>#REF!</v>
      </c>
      <c r="AA24" s="9">
        <f>SUMIF(累计考核费用!$B$107:$B$156,原格式费用考核表!$B24,累计考核费用!AC$107:AC$156)/10000</f>
        <v>0</v>
      </c>
      <c r="AB24" s="9" t="e">
        <f ca="1">SUMIF(累计考核费用!$B$107:$B$156,原格式费用考核表!$B24,累计考核费用!#REF!)/10000</f>
        <v>#REF!</v>
      </c>
    </row>
    <row r="25" s="2" customFormat="1" customHeight="1" spans="1:28">
      <c r="A25" s="19"/>
      <c r="B25" s="15" t="s">
        <v>114</v>
      </c>
      <c r="C25" s="15" t="s">
        <v>116</v>
      </c>
      <c r="D25" s="9">
        <f>SUMIF(累计考核费用!$B$107:$B$156,原格式费用考核表!$B25,累计考核费用!C$107:C$156)/10000</f>
        <v>551.875013</v>
      </c>
      <c r="E25" s="9">
        <f>SUMIF(累计考核费用!$B$107:$B$156,原格式费用考核表!$B25,累计考核费用!D$107:D$156)/10000</f>
        <v>0</v>
      </c>
      <c r="F25" s="9">
        <f>SUMIF(累计考核费用!$B$107:$B$156,原格式费用考核表!$B25,累计考核费用!E$107:E$156)/10000</f>
        <v>273.23921</v>
      </c>
      <c r="G25" s="9">
        <f>SUMIF(累计考核费用!$B$107:$B$156,原格式费用考核表!$B25,累计考核费用!F$107:F$156)/10000</f>
        <v>278.533916</v>
      </c>
      <c r="H25" s="9">
        <f>SUMIF(累计考核费用!$B$107:$B$156,原格式费用考核表!$B25,累计考核费用!G$107:G$156)/10000</f>
        <v>0</v>
      </c>
      <c r="I25" s="9">
        <f>SUMIF(累计考核费用!$B$107:$B$156,原格式费用考核表!$B25,累计考核费用!L$107:L$156)/10000</f>
        <v>0.000755</v>
      </c>
      <c r="J25" s="9">
        <f>SUMIF(累计考核费用!$B$107:$B$156,原格式费用考核表!$B25,累计考核费用!M$107:M$156)/10000</f>
        <v>0</v>
      </c>
      <c r="K25" s="9">
        <f>SUMIF(累计考核费用!$B$107:$B$156,原格式费用考核表!$B25,累计考核费用!Q$107:Q$156)/10000</f>
        <v>0</v>
      </c>
      <c r="L25" s="9">
        <f>SUMIF(累计考核费用!$B$107:$B$156,原格式费用考核表!$B25,累计考核费用!P$107:P$156)/10000</f>
        <v>0.000755</v>
      </c>
      <c r="M25" s="9">
        <f>SUMIF(累计考核费用!$B$107:$B$156,原格式费用考核表!$B25,累计考核费用!O$107:O$156)/10000</f>
        <v>0</v>
      </c>
      <c r="N25" s="9">
        <f>SUMIF(累计考核费用!$B$107:$B$156,原格式费用考核表!$B25,累计考核费用!R$107:R$156)/10000</f>
        <v>0</v>
      </c>
      <c r="O25" s="9" t="e">
        <f ca="1">SUMIF(累计考核费用!$B$107:$B$156,原格式费用考核表!$B25,累计考核费用!#REF!)/10000</f>
        <v>#REF!</v>
      </c>
      <c r="P25" s="9">
        <f>SUMIF(累计考核费用!$B$107:$B$156,原格式费用考核表!$B25,累计考核费用!S$107:S$156)/10000</f>
        <v>0.113208</v>
      </c>
      <c r="Q25" s="9" t="e">
        <f ca="1">SUMIF(累计考核费用!$B$107:$B$156,原格式费用考核表!$B25,累计考核费用!#REF!)/10000</f>
        <v>#REF!</v>
      </c>
      <c r="R25" s="9">
        <f>SUMIF(累计考核费用!$B$107:$B$156,原格式费用考核表!$B25,累计考核费用!T$107:T$156)/10000</f>
        <v>0.101132</v>
      </c>
      <c r="S25" s="9">
        <f>SUMIF(累计考核费用!$B$107:$B$156,原格式费用考核表!$B25,累计考核费用!U$107:U$156)/10000</f>
        <v>0.02717</v>
      </c>
      <c r="T25" s="9" t="e">
        <f ca="1">SUMIF(累计考核费用!$B$107:$B$156,原格式费用考核表!$B25,累计考核费用!#REF!)/10000</f>
        <v>#REF!</v>
      </c>
      <c r="U25" s="9">
        <f>SUMIF(累计考核费用!$B$107:$B$156,原格式费用考核表!$B25,累计考核费用!V$107:V$156)/10000</f>
        <v>0.038491</v>
      </c>
      <c r="V25" s="9">
        <f>SUMIF(累计考核费用!$B$107:$B$156,原格式费用考核表!$B25,累计考核费用!W$107:W$156)/10000</f>
        <v>0.028679</v>
      </c>
      <c r="W25" s="9">
        <f>SUMIF(累计考核费用!$B$107:$B$156,原格式费用考核表!$B25,累计考核费用!AB$107:AB$156)/10000</f>
        <v>0.011321</v>
      </c>
      <c r="X25" s="9" t="e">
        <f ca="1">SUMIF(累计考核费用!$B$107:$B$156,原格式费用考核表!$B25,累计考核费用!#REF!)/10000</f>
        <v>#REF!</v>
      </c>
      <c r="Y25" s="9" t="e">
        <f ca="1">SUMIF(累计考核费用!$B$107:$B$156,原格式费用考核表!$B25,累计考核费用!#REF!)/10000</f>
        <v>#REF!</v>
      </c>
      <c r="Z25" s="9" t="e">
        <f ca="1">SUMIF(累计考核费用!$B$107:$B$156,原格式费用考核表!$B25,累计考核费用!#REF!)/10000</f>
        <v>#REF!</v>
      </c>
      <c r="AA25" s="9">
        <f>SUMIF(累计考核费用!$B$107:$B$156,原格式费用考核表!$B25,累计考核费用!AC$107:AC$156)/10000</f>
        <v>0.116075</v>
      </c>
      <c r="AB25" s="9" t="e">
        <f ca="1">SUMIF(累计考核费用!$B$107:$B$156,原格式费用考核表!$B25,累计考核费用!#REF!)/10000</f>
        <v>#REF!</v>
      </c>
    </row>
    <row r="26" s="2" customFormat="1" customHeight="1" spans="1:28">
      <c r="A26" s="19"/>
      <c r="B26" s="15" t="s">
        <v>121</v>
      </c>
      <c r="C26" s="15" t="s">
        <v>117</v>
      </c>
      <c r="D26" s="9">
        <f>SUMIF(累计考核费用!$B$107:$B$156,原格式费用考核表!$B26,累计考核费用!C$107:C$156)/10000</f>
        <v>704.313727</v>
      </c>
      <c r="E26" s="9">
        <f>SUMIF(累计考核费用!$B$107:$B$156,原格式费用考核表!$B26,累计考核费用!D$107:D$156)/10000</f>
        <v>0</v>
      </c>
      <c r="F26" s="9">
        <f>SUMIF(累计考核费用!$B$107:$B$156,原格式费用考核表!$B26,累计考核费用!E$107:E$156)/10000</f>
        <v>0</v>
      </c>
      <c r="G26" s="9">
        <f>SUMIF(累计考核费用!$B$107:$B$156,原格式费用考核表!$B26,累计考核费用!F$107:F$156)/10000</f>
        <v>704.313727</v>
      </c>
      <c r="H26" s="9">
        <f>SUMIF(累计考核费用!$B$107:$B$156,原格式费用考核表!$B26,累计考核费用!G$107:G$156)/10000</f>
        <v>0</v>
      </c>
      <c r="I26" s="9">
        <f>SUMIF(累计考核费用!$B$107:$B$156,原格式费用考核表!$B26,累计考核费用!L$107:L$156)/10000</f>
        <v>0</v>
      </c>
      <c r="J26" s="9">
        <f>SUMIF(累计考核费用!$B$107:$B$156,原格式费用考核表!$B26,累计考核费用!M$107:M$156)/10000</f>
        <v>0</v>
      </c>
      <c r="K26" s="9">
        <f>SUMIF(累计考核费用!$B$107:$B$156,原格式费用考核表!$B26,累计考核费用!Q$107:Q$156)/10000</f>
        <v>0</v>
      </c>
      <c r="L26" s="9">
        <f>SUMIF(累计考核费用!$B$107:$B$156,原格式费用考核表!$B26,累计考核费用!P$107:P$156)/10000</f>
        <v>0</v>
      </c>
      <c r="M26" s="9">
        <f>SUMIF(累计考核费用!$B$107:$B$156,原格式费用考核表!$B26,累计考核费用!O$107:O$156)/10000</f>
        <v>0</v>
      </c>
      <c r="N26" s="9">
        <f>SUMIF(累计考核费用!$B$107:$B$156,原格式费用考核表!$B26,累计考核费用!R$107:R$156)/10000</f>
        <v>0</v>
      </c>
      <c r="O26" s="9" t="e">
        <f ca="1">SUMIF(累计考核费用!$B$107:$B$156,原格式费用考核表!$B26,累计考核费用!#REF!)/10000</f>
        <v>#REF!</v>
      </c>
      <c r="P26" s="9">
        <f>SUMIF(累计考核费用!$B$107:$B$156,原格式费用考核表!$B26,累计考核费用!S$107:S$156)/10000</f>
        <v>0</v>
      </c>
      <c r="Q26" s="9" t="e">
        <f ca="1">SUMIF(累计考核费用!$B$107:$B$156,原格式费用考核表!$B26,累计考核费用!#REF!)/10000</f>
        <v>#REF!</v>
      </c>
      <c r="R26" s="9">
        <f>SUMIF(累计考核费用!$B$107:$B$156,原格式费用考核表!$B26,累计考核费用!T$107:T$156)/10000</f>
        <v>0</v>
      </c>
      <c r="S26" s="9">
        <f>SUMIF(累计考核费用!$B$107:$B$156,原格式费用考核表!$B26,累计考核费用!U$107:U$156)/10000</f>
        <v>0</v>
      </c>
      <c r="T26" s="9" t="e">
        <f ca="1">SUMIF(累计考核费用!$B$107:$B$156,原格式费用考核表!$B26,累计考核费用!#REF!)/10000</f>
        <v>#REF!</v>
      </c>
      <c r="U26" s="9">
        <f>SUMIF(累计考核费用!$B$107:$B$156,原格式费用考核表!$B26,累计考核费用!V$107:V$156)/10000</f>
        <v>0</v>
      </c>
      <c r="V26" s="9">
        <f>SUMIF(累计考核费用!$B$107:$B$156,原格式费用考核表!$B26,累计考核费用!W$107:W$156)/10000</f>
        <v>0</v>
      </c>
      <c r="W26" s="9">
        <f>SUMIF(累计考核费用!$B$107:$B$156,原格式费用考核表!$B26,累计考核费用!AB$107:AB$156)/10000</f>
        <v>0</v>
      </c>
      <c r="X26" s="9" t="e">
        <f ca="1">SUMIF(累计考核费用!$B$107:$B$156,原格式费用考核表!$B26,累计考核费用!#REF!)/10000</f>
        <v>#REF!</v>
      </c>
      <c r="Y26" s="9" t="e">
        <f ca="1">SUMIF(累计考核费用!$B$107:$B$156,原格式费用考核表!$B26,累计考核费用!#REF!)/10000</f>
        <v>#REF!</v>
      </c>
      <c r="Z26" s="9" t="e">
        <f ca="1">SUMIF(累计考核费用!$B$107:$B$156,原格式费用考核表!$B26,累计考核费用!#REF!)/10000</f>
        <v>#REF!</v>
      </c>
      <c r="AA26" s="9">
        <f>SUMIF(累计考核费用!$B$107:$B$156,原格式费用考核表!$B26,累计考核费用!AC$107:AC$156)/10000</f>
        <v>0</v>
      </c>
      <c r="AB26" s="9" t="e">
        <f ca="1">SUMIF(累计考核费用!$B$107:$B$156,原格式费用考核表!$B26,累计考核费用!#REF!)/10000</f>
        <v>#REF!</v>
      </c>
    </row>
    <row r="27" s="2" customFormat="1" customHeight="1" spans="1:28">
      <c r="A27" s="19"/>
      <c r="B27" s="15" t="s">
        <v>115</v>
      </c>
      <c r="C27" s="15" t="s">
        <v>118</v>
      </c>
      <c r="D27" s="9">
        <f>SUMIF(累计考核费用!$B$107:$B$156,原格式费用考核表!$B27,累计考核费用!C$107:C$156)/10000</f>
        <v>527.612238</v>
      </c>
      <c r="E27" s="9">
        <f>SUMIF(累计考核费用!$B$107:$B$156,原格式费用考核表!$B27,累计考核费用!D$107:D$156)/10000</f>
        <v>81.553398</v>
      </c>
      <c r="F27" s="9">
        <f>SUMIF(累计考核费用!$B$107:$B$156,原格式费用考核表!$B27,累计考核费用!E$107:E$156)/10000</f>
        <v>114.443119</v>
      </c>
      <c r="G27" s="9">
        <f>SUMIF(累计考核费用!$B$107:$B$156,原格式费用考核表!$B27,累计考核费用!F$107:F$156)/10000</f>
        <v>223.821402</v>
      </c>
      <c r="H27" s="9">
        <f>SUMIF(累计考核费用!$B$107:$B$156,原格式费用考核表!$B27,累计考核费用!G$107:G$156)/10000</f>
        <v>54.952831</v>
      </c>
      <c r="I27" s="9">
        <f>SUMIF(累计考核费用!$B$107:$B$156,原格式费用考核表!$B27,累计考核费用!L$107:L$156)/10000</f>
        <v>29.520968</v>
      </c>
      <c r="J27" s="9">
        <f>SUMIF(累计考核费用!$B$107:$B$156,原格式费用考核表!$B27,累计考核费用!M$107:M$156)/10000</f>
        <v>9.823354</v>
      </c>
      <c r="K27" s="9">
        <f>SUMIF(累计考核费用!$B$107:$B$156,原格式费用考核表!$B27,累计考核费用!Q$107:Q$156)/10000</f>
        <v>2.412619</v>
      </c>
      <c r="L27" s="9">
        <f>SUMIF(累计考核费用!$B$107:$B$156,原格式费用考核表!$B27,累计考核费用!P$107:P$156)/10000</f>
        <v>9.155387</v>
      </c>
      <c r="M27" s="9">
        <f>SUMIF(累计考核费用!$B$107:$B$156,原格式费用考核表!$B27,累计考核费用!O$107:O$156)/10000</f>
        <v>2.187974</v>
      </c>
      <c r="N27" s="9">
        <f>SUMIF(累计考核费用!$B$107:$B$156,原格式费用考核表!$B27,累计考核费用!R$107:R$156)/10000</f>
        <v>0.83526</v>
      </c>
      <c r="O27" s="9" t="e">
        <f ca="1">SUMIF(累计考核费用!$B$107:$B$156,原格式费用考核表!$B27,累计考核费用!#REF!)/10000</f>
        <v>#REF!</v>
      </c>
      <c r="P27" s="9">
        <f>SUMIF(累计考核费用!$B$107:$B$156,原格式费用考核表!$B27,累计考核费用!S$107:S$156)/10000</f>
        <v>0.7296</v>
      </c>
      <c r="Q27" s="9" t="e">
        <f ca="1">SUMIF(累计考核费用!$B$107:$B$156,原格式费用考核表!$B27,累计考核费用!#REF!)/10000</f>
        <v>#REF!</v>
      </c>
      <c r="R27" s="9">
        <f>SUMIF(累计考核费用!$B$107:$B$156,原格式费用考核表!$B27,累计考核费用!T$107:T$156)/10000</f>
        <v>23.32052</v>
      </c>
      <c r="S27" s="9">
        <f>SUMIF(累计考核费用!$B$107:$B$156,原格式费用考核表!$B27,累计考核费用!U$107:U$156)/10000</f>
        <v>20.40212</v>
      </c>
      <c r="T27" s="9" t="e">
        <f ca="1">SUMIF(累计考核费用!$B$107:$B$156,原格式费用考核表!$B27,累计考核费用!#REF!)/10000</f>
        <v>#REF!</v>
      </c>
      <c r="U27" s="9">
        <f>SUMIF(累计考核费用!$B$107:$B$156,原格式费用考核表!$B27,累计考核费用!V$107:V$156)/10000</f>
        <v>1.4592</v>
      </c>
      <c r="V27" s="9">
        <f>SUMIF(累计考核费用!$B$107:$B$156,原格式费用考核表!$B27,累计考核费用!W$107:W$156)/10000</f>
        <v>1.4592</v>
      </c>
      <c r="W27" s="9">
        <f>SUMIF(累计考核费用!$B$107:$B$156,原格式费用考核表!$B27,累计考核费用!AB$107:AB$156)/10000</f>
        <v>1.4592</v>
      </c>
      <c r="X27" s="9" t="e">
        <f ca="1">SUMIF(累计考核费用!$B$107:$B$156,原格式费用考核表!$B27,累计考核费用!#REF!)/10000</f>
        <v>#REF!</v>
      </c>
      <c r="Y27" s="9" t="e">
        <f ca="1">SUMIF(累计考核费用!$B$107:$B$156,原格式费用考核表!$B27,累计考核费用!#REF!)/10000</f>
        <v>#REF!</v>
      </c>
      <c r="Z27" s="9" t="e">
        <f ca="1">SUMIF(累计考核费用!$B$107:$B$156,原格式费用考核表!$B27,累计考核费用!#REF!)/10000</f>
        <v>#REF!</v>
      </c>
      <c r="AA27" s="9">
        <f>SUMIF(累计考核费用!$B$107:$B$156,原格式费用考核表!$B27,累计考核费用!AC$107:AC$156)/10000</f>
        <v>0</v>
      </c>
      <c r="AB27" s="9" t="e">
        <f ca="1">SUMIF(累计考核费用!$B$107:$B$156,原格式费用考核表!$B27,累计考核费用!#REF!)/10000</f>
        <v>#REF!</v>
      </c>
    </row>
    <row r="28" s="2" customFormat="1" customHeight="1" spans="1:28">
      <c r="A28" s="19"/>
      <c r="B28" s="15" t="s">
        <v>127</v>
      </c>
      <c r="C28" s="15" t="s">
        <v>119</v>
      </c>
      <c r="D28" s="9">
        <f>SUMIF(累计考核费用!$B$107:$B$156,原格式费用考核表!$B28,累计考核费用!C$107:C$156)/10000</f>
        <v>257.023835</v>
      </c>
      <c r="E28" s="9">
        <f>SUMIF(累计考核费用!$B$107:$B$156,原格式费用考核表!$B28,累计考核费用!D$107:D$156)/10000</f>
        <v>0</v>
      </c>
      <c r="F28" s="9">
        <f>SUMIF(累计考核费用!$B$107:$B$156,原格式费用考核表!$B28,累计考核费用!E$107:E$156)/10000</f>
        <v>37.938801</v>
      </c>
      <c r="G28" s="9">
        <f>SUMIF(累计考核费用!$B$107:$B$156,原格式费用考核表!$B28,累计考核费用!F$107:F$156)/10000</f>
        <v>208.666627</v>
      </c>
      <c r="H28" s="9">
        <f>SUMIF(累计考核费用!$B$107:$B$156,原格式费用考核表!$B28,累计考核费用!G$107:G$156)/10000</f>
        <v>2.551285</v>
      </c>
      <c r="I28" s="9">
        <f>SUMIF(累计考核费用!$B$107:$B$156,原格式费用考核表!$B28,累计考核费用!L$107:L$156)/10000</f>
        <v>7.867122</v>
      </c>
      <c r="J28" s="9">
        <f>SUMIF(累计考核费用!$B$107:$B$156,原格式费用考核表!$B28,累计考核费用!M$107:M$156)/10000</f>
        <v>1.204555</v>
      </c>
      <c r="K28" s="9">
        <f>SUMIF(累计考核费用!$B$107:$B$156,原格式费用考核表!$B28,累计考核费用!Q$107:Q$156)/10000</f>
        <v>1.204555</v>
      </c>
      <c r="L28" s="9">
        <f>SUMIF(累计考核费用!$B$107:$B$156,原格式费用考核表!$B28,累计考核费用!P$107:P$156)/10000</f>
        <v>1.524452</v>
      </c>
      <c r="M28" s="9">
        <f>SUMIF(累计考核费用!$B$107:$B$156,原格式费用考核表!$B28,累计考核费用!O$107:O$156)/10000</f>
        <v>1.204554</v>
      </c>
      <c r="N28" s="9">
        <f>SUMIF(累计考核费用!$B$107:$B$156,原格式费用考核表!$B28,累计考核费用!R$107:R$156)/10000</f>
        <v>1.524452</v>
      </c>
      <c r="O28" s="9" t="e">
        <f ca="1">SUMIF(累计考核费用!$B$107:$B$156,原格式费用考核表!$B28,累计考核费用!#REF!)/10000</f>
        <v>#REF!</v>
      </c>
      <c r="P28" s="9">
        <f>SUMIF(累计考核费用!$B$107:$B$156,原格式费用考核表!$B28,累计考核费用!S$107:S$156)/10000</f>
        <v>1.524448</v>
      </c>
      <c r="Q28" s="9" t="e">
        <f ca="1">SUMIF(累计考核费用!$B$107:$B$156,原格式费用考核表!$B28,累计考核费用!#REF!)/10000</f>
        <v>#REF!</v>
      </c>
      <c r="R28" s="9">
        <f>SUMIF(累计考核费用!$B$107:$B$156,原格式费用考核表!$B28,累计考核费用!T$107:T$156)/10000</f>
        <v>0</v>
      </c>
      <c r="S28" s="9">
        <f>SUMIF(累计考核费用!$B$107:$B$156,原格式费用考核表!$B28,累计考核费用!U$107:U$156)/10000</f>
        <v>0</v>
      </c>
      <c r="T28" s="9" t="e">
        <f ca="1">SUMIF(累计考核费用!$B$107:$B$156,原格式费用考核表!$B28,累计考核费用!#REF!)/10000</f>
        <v>#REF!</v>
      </c>
      <c r="U28" s="9">
        <f>SUMIF(累计考核费用!$B$107:$B$156,原格式费用考核表!$B28,累计考核费用!V$107:V$156)/10000</f>
        <v>0</v>
      </c>
      <c r="V28" s="9">
        <f>SUMIF(累计考核费用!$B$107:$B$156,原格式费用考核表!$B28,累计考核费用!W$107:W$156)/10000</f>
        <v>0</v>
      </c>
      <c r="W28" s="9">
        <f>SUMIF(累计考核费用!$B$107:$B$156,原格式费用考核表!$B28,累计考核费用!AB$107:AB$156)/10000</f>
        <v>0</v>
      </c>
      <c r="X28" s="9" t="e">
        <f ca="1">SUMIF(累计考核费用!$B$107:$B$156,原格式费用考核表!$B28,累计考核费用!#REF!)/10000</f>
        <v>#REF!</v>
      </c>
      <c r="Y28" s="9" t="e">
        <f ca="1">SUMIF(累计考核费用!$B$107:$B$156,原格式费用考核表!$B28,累计考核费用!#REF!)/10000</f>
        <v>#REF!</v>
      </c>
      <c r="Z28" s="9" t="e">
        <f ca="1">SUMIF(累计考核费用!$B$107:$B$156,原格式费用考核表!$B28,累计考核费用!#REF!)/10000</f>
        <v>#REF!</v>
      </c>
      <c r="AA28" s="9">
        <f>SUMIF(累计考核费用!$B$107:$B$156,原格式费用考核表!$B28,累计考核费用!AC$107:AC$156)/10000</f>
        <v>2.021643</v>
      </c>
      <c r="AB28" s="9" t="e">
        <f ca="1">SUMIF(累计考核费用!$B$107:$B$156,原格式费用考核表!$B28,累计考核费用!#REF!)/10000</f>
        <v>#REF!</v>
      </c>
    </row>
    <row r="29" s="2" customFormat="1" customHeight="1" spans="1:28">
      <c r="A29" s="19"/>
      <c r="B29" s="15" t="s">
        <v>116</v>
      </c>
      <c r="C29" s="15" t="s">
        <v>120</v>
      </c>
      <c r="D29" s="9">
        <f>SUMIF(累计考核费用!$B$107:$B$156,原格式费用考核表!$B29,累计考核费用!C$107:C$156)/10000</f>
        <v>314.781066</v>
      </c>
      <c r="E29" s="9">
        <f>SUMIF(累计考核费用!$B$107:$B$156,原格式费用考核表!$B29,累计考核费用!D$107:D$156)/10000</f>
        <v>0</v>
      </c>
      <c r="F29" s="9">
        <f>SUMIF(累计考核费用!$B$107:$B$156,原格式费用考核表!$B29,累计考核费用!E$107:E$156)/10000</f>
        <v>142.078944</v>
      </c>
      <c r="G29" s="9">
        <f>SUMIF(累计考核费用!$B$107:$B$156,原格式费用考核表!$B29,累计考核费用!F$107:F$156)/10000</f>
        <v>112.039897</v>
      </c>
      <c r="H29" s="9">
        <f>SUMIF(累计考核费用!$B$107:$B$156,原格式费用考核表!$B29,累计考核费用!G$107:G$156)/10000</f>
        <v>6.657418</v>
      </c>
      <c r="I29" s="9">
        <f>SUMIF(累计考核费用!$B$107:$B$156,原格式费用考核表!$B29,累计考核费用!L$107:L$156)/10000</f>
        <v>22.547393</v>
      </c>
      <c r="J29" s="9">
        <f>SUMIF(累计考核费用!$B$107:$B$156,原格式费用考核表!$B29,累计考核费用!M$107:M$156)/10000</f>
        <v>6.999547</v>
      </c>
      <c r="K29" s="9">
        <f>SUMIF(累计考核费用!$B$107:$B$156,原格式费用考核表!$B29,累计考核费用!Q$107:Q$156)/10000</f>
        <v>0</v>
      </c>
      <c r="L29" s="9">
        <f>SUMIF(累计考核费用!$B$107:$B$156,原格式费用考核表!$B29,累计考核费用!P$107:P$156)/10000</f>
        <v>0</v>
      </c>
      <c r="M29" s="9">
        <f>SUMIF(累计考核费用!$B$107:$B$156,原格式费用考核表!$B29,累计考核费用!O$107:O$156)/10000</f>
        <v>6.917418</v>
      </c>
      <c r="N29" s="9">
        <f>SUMIF(累计考核费用!$B$107:$B$156,原格式费用考核表!$B29,累计考核费用!R$107:R$156)/10000</f>
        <v>0</v>
      </c>
      <c r="O29" s="9" t="e">
        <f ca="1">SUMIF(累计考核费用!$B$107:$B$156,原格式费用考核表!$B29,累计考核费用!#REF!)/10000</f>
        <v>#REF!</v>
      </c>
      <c r="P29" s="9">
        <f>SUMIF(累计考核费用!$B$107:$B$156,原格式费用考核表!$B29,累计考核费用!S$107:S$156)/10000</f>
        <v>0</v>
      </c>
      <c r="Q29" s="9" t="e">
        <f ca="1">SUMIF(累计考核费用!$B$107:$B$156,原格式费用考核表!$B29,累计考核费用!#REF!)/10000</f>
        <v>#REF!</v>
      </c>
      <c r="R29" s="9">
        <f>SUMIF(累计考核费用!$B$107:$B$156,原格式费用考核表!$B29,累计考核费用!T$107:T$156)/10000</f>
        <v>31.457414</v>
      </c>
      <c r="S29" s="9">
        <f>SUMIF(累计考核费用!$B$107:$B$156,原格式费用考核表!$B29,累计考核费用!U$107:U$156)/10000</f>
        <v>5.694235</v>
      </c>
      <c r="T29" s="9" t="e">
        <f ca="1">SUMIF(累计考核费用!$B$107:$B$156,原格式费用考核表!$B29,累计考核费用!#REF!)/10000</f>
        <v>#REF!</v>
      </c>
      <c r="U29" s="9">
        <f>SUMIF(累计考核费用!$B$107:$B$156,原格式费用考核表!$B29,累计考核费用!V$107:V$156)/10000</f>
        <v>17.807936</v>
      </c>
      <c r="V29" s="9">
        <f>SUMIF(累计考核费用!$B$107:$B$156,原格式费用考核表!$B29,累计考核费用!W$107:W$156)/10000</f>
        <v>6.531684</v>
      </c>
      <c r="W29" s="9">
        <f>SUMIF(累计考核费用!$B$107:$B$156,原格式费用考核表!$B29,累计考核费用!AB$107:AB$156)/10000</f>
        <v>3.477351</v>
      </c>
      <c r="X29" s="9" t="e">
        <f ca="1">SUMIF(累计考核费用!$B$107:$B$156,原格式费用考核表!$B29,累计考核费用!#REF!)/10000</f>
        <v>#REF!</v>
      </c>
      <c r="Y29" s="9" t="e">
        <f ca="1">SUMIF(累计考核费用!$B$107:$B$156,原格式费用考核表!$B29,累计考核费用!#REF!)/10000</f>
        <v>#REF!</v>
      </c>
      <c r="Z29" s="9" t="e">
        <f ca="1">SUMIF(累计考核费用!$B$107:$B$156,原格式费用考核表!$B29,累计考核费用!#REF!)/10000</f>
        <v>#REF!</v>
      </c>
      <c r="AA29" s="9">
        <f>SUMIF(累计考核费用!$B$107:$B$156,原格式费用考核表!$B29,累计考核费用!AC$107:AC$156)/10000</f>
        <v>3.729442</v>
      </c>
      <c r="AB29" s="9" t="e">
        <f ca="1">SUMIF(累计考核费用!$B$107:$B$156,原格式费用考核表!$B29,累计考核费用!#REF!)/10000</f>
        <v>#REF!</v>
      </c>
    </row>
    <row r="30" s="2" customFormat="1" customHeight="1" spans="1:28">
      <c r="A30" s="19"/>
      <c r="B30" s="15" t="s">
        <v>117</v>
      </c>
      <c r="C30" s="15" t="s">
        <v>121</v>
      </c>
      <c r="D30" s="9">
        <f>SUMIF(累计考核费用!$B$107:$B$156,原格式费用考核表!$B30,累计考核费用!C$107:C$156)/10000</f>
        <v>109.034272</v>
      </c>
      <c r="E30" s="9">
        <f>SUMIF(累计考核费用!$B$107:$B$156,原格式费用考核表!$B30,累计考核费用!D$107:D$156)/10000</f>
        <v>0</v>
      </c>
      <c r="F30" s="9">
        <f>SUMIF(累计考核费用!$B$107:$B$156,原格式费用考核表!$B30,累计考核费用!E$107:E$156)/10000</f>
        <v>21.392284</v>
      </c>
      <c r="G30" s="9">
        <f>SUMIF(累计考核费用!$B$107:$B$156,原格式费用考核表!$B30,累计考核费用!F$107:F$156)/10000</f>
        <v>53.297238</v>
      </c>
      <c r="H30" s="9">
        <f>SUMIF(累计考核费用!$B$107:$B$156,原格式费用考核表!$B30,累计考核费用!G$107:G$156)/10000</f>
        <v>0.494958</v>
      </c>
      <c r="I30" s="9">
        <f>SUMIF(累计考核费用!$B$107:$B$156,原格式费用考核表!$B30,累计考核费用!L$107:L$156)/10000</f>
        <v>1.105208</v>
      </c>
      <c r="J30" s="9">
        <f>SUMIF(累计考核费用!$B$107:$B$156,原格式费用考核表!$B30,累计考核费用!M$107:M$156)/10000</f>
        <v>0.169434</v>
      </c>
      <c r="K30" s="9">
        <f>SUMIF(累计考核费用!$B$107:$B$156,原格式费用考核表!$B30,累计考核费用!Q$107:Q$156)/10000</f>
        <v>0.1643</v>
      </c>
      <c r="L30" s="9">
        <f>SUMIF(累计考核费用!$B$107:$B$156,原格式费用考核表!$B30,累计考核费用!P$107:P$156)/10000</f>
        <v>0.230508</v>
      </c>
      <c r="M30" s="9">
        <f>SUMIF(累计考核费用!$B$107:$B$156,原格式费用考核表!$B30,累计考核费用!O$107:O$156)/10000</f>
        <v>0.156333</v>
      </c>
      <c r="N30" s="9">
        <f>SUMIF(累计考核费用!$B$107:$B$156,原格式费用考核表!$B30,累计考核费用!R$107:R$156)/10000</f>
        <v>0.1386</v>
      </c>
      <c r="O30" s="9" t="e">
        <f ca="1">SUMIF(累计考核费用!$B$107:$B$156,原格式费用考核表!$B30,累计考核费用!#REF!)/10000</f>
        <v>#REF!</v>
      </c>
      <c r="P30" s="9">
        <f>SUMIF(累计考核费用!$B$107:$B$156,原格式费用考核表!$B30,累计考核费用!S$107:S$156)/10000</f>
        <v>0.756241</v>
      </c>
      <c r="Q30" s="9" t="e">
        <f ca="1">SUMIF(累计考核费用!$B$107:$B$156,原格式费用考核表!$B30,累计考核费用!#REF!)/10000</f>
        <v>#REF!</v>
      </c>
      <c r="R30" s="9">
        <f>SUMIF(累计考核费用!$B$107:$B$156,原格式费用考核表!$B30,累计考核费用!T$107:T$156)/10000</f>
        <v>32.744584</v>
      </c>
      <c r="S30" s="9">
        <f>SUMIF(累计考核费用!$B$107:$B$156,原格式费用考核表!$B30,累计考核费用!U$107:U$156)/10000</f>
        <v>1.494302</v>
      </c>
      <c r="T30" s="9" t="e">
        <f ca="1">SUMIF(累计考核费用!$B$107:$B$156,原格式费用考核表!$B30,累计考核费用!#REF!)/10000</f>
        <v>#REF!</v>
      </c>
      <c r="U30" s="9">
        <f>SUMIF(累计考核费用!$B$107:$B$156,原格式费用考核表!$B30,累计考核费用!V$107:V$156)/10000</f>
        <v>23.829478</v>
      </c>
      <c r="V30" s="9">
        <f>SUMIF(累计考核费用!$B$107:$B$156,原格式费用考核表!$B30,累计考核费用!W$107:W$156)/10000</f>
        <v>5.915063</v>
      </c>
      <c r="W30" s="9">
        <f>SUMIF(累计考核费用!$B$107:$B$156,原格式费用考核表!$B30,累计考核费用!AB$107:AB$156)/10000</f>
        <v>3.475728</v>
      </c>
      <c r="X30" s="9" t="e">
        <f ca="1">SUMIF(累计考核费用!$B$107:$B$156,原格式费用考核表!$B30,累计考核费用!#REF!)/10000</f>
        <v>#REF!</v>
      </c>
      <c r="Y30" s="9" t="e">
        <f ca="1">SUMIF(累计考核费用!$B$107:$B$156,原格式费用考核表!$B30,累计考核费用!#REF!)/10000</f>
        <v>#REF!</v>
      </c>
      <c r="Z30" s="9" t="e">
        <f ca="1">SUMIF(累计考核费用!$B$107:$B$156,原格式费用考核表!$B30,累计考核费用!#REF!)/10000</f>
        <v>#REF!</v>
      </c>
      <c r="AA30" s="9">
        <f>SUMIF(累计考核费用!$B$107:$B$156,原格式费用考核表!$B30,累计考核费用!AC$107:AC$156)/10000</f>
        <v>0.179975</v>
      </c>
      <c r="AB30" s="9" t="e">
        <f ca="1">SUMIF(累计考核费用!$B$107:$B$156,原格式费用考核表!$B30,累计考核费用!#REF!)/10000</f>
        <v>#REF!</v>
      </c>
    </row>
    <row r="31" s="2" customFormat="1" customHeight="1" spans="1:28">
      <c r="A31" s="19"/>
      <c r="B31" s="15" t="s">
        <v>120</v>
      </c>
      <c r="C31" s="15" t="s">
        <v>122</v>
      </c>
      <c r="D31" s="9">
        <f>SUMIF(累计考核费用!$B$107:$B$156,原格式费用考核表!$B31,累计考核费用!C$107:C$156)/10000-D9</f>
        <v>315.080729</v>
      </c>
      <c r="E31" s="9">
        <f>SUMIF(累计考核费用!$B$107:$B$156,原格式费用考核表!$B31,累计考核费用!D$107:D$156)/10000-E9</f>
        <v>0</v>
      </c>
      <c r="F31" s="9">
        <f>SUMIF(累计考核费用!$B$107:$B$156,原格式费用考核表!$B31,累计考核费用!E$107:E$156)/10000-F9</f>
        <v>79.435225</v>
      </c>
      <c r="G31" s="9">
        <f>SUMIF(累计考核费用!$B$107:$B$156,原格式费用考核表!$B31,累计考核费用!F$107:F$156)/10000-G9</f>
        <v>236.249694</v>
      </c>
      <c r="H31" s="9">
        <f>SUMIF(累计考核费用!$B$107:$B$156,原格式费用考核表!$B31,累计考核费用!G$107:G$156)/10000-H9</f>
        <v>3.33383</v>
      </c>
      <c r="I31" s="9">
        <f>SUMIF(累计考核费用!$B$107:$B$156,原格式费用考核表!$B31,累计考核费用!L$107:L$156)/10000-I9</f>
        <v>-1.00052</v>
      </c>
      <c r="J31" s="9">
        <f>SUMIF(累计考核费用!$B$107:$B$156,原格式费用考核表!$B31,累计考核费用!M$107:M$156)/10000-J9</f>
        <v>0.88753</v>
      </c>
      <c r="K31" s="9">
        <f>SUMIF(累计考核费用!$B$107:$B$156,原格式费用考核表!$B31,累计考核费用!Q$107:Q$156)/10000-K9</f>
        <v>0</v>
      </c>
      <c r="L31" s="9">
        <f>SUMIF(累计考核费用!$B$107:$B$156,原格式费用考核表!$B31,累计考核费用!P$107:P$156)/10000-L9</f>
        <v>-1.373904</v>
      </c>
      <c r="M31" s="9">
        <f>SUMIF(累计考核费用!$B$107:$B$156,原格式费用考核表!$B31,累计考核费用!O$107:O$156)/10000-M9</f>
        <v>1.01453</v>
      </c>
      <c r="N31" s="9">
        <f>SUMIF(累计考核费用!$B$107:$B$156,原格式费用考核表!$B31,累计考核费用!R$107:R$156)/10000-N9</f>
        <v>-0.9166</v>
      </c>
      <c r="O31" s="9" t="e">
        <f ca="1">SUMIF(累计考核费用!$B$107:$B$156,原格式费用考核表!$B31,累计考核费用!#REF!)/10000-O9</f>
        <v>#REF!</v>
      </c>
      <c r="P31" s="9">
        <f>SUMIF(累计考核费用!$B$107:$B$156,原格式费用考核表!$B31,累计考核费用!S$107:S$156)/10000-P9</f>
        <v>14.254783</v>
      </c>
      <c r="Q31" s="9" t="e">
        <f ca="1">SUMIF(累计考核费用!$B$107:$B$156,原格式费用考核表!$B31,累计考核费用!#REF!)/10000-Q9</f>
        <v>#REF!</v>
      </c>
      <c r="R31" s="9">
        <f>SUMIF(累计考核费用!$B$107:$B$156,原格式费用考核表!$B31,累计考核费用!T$107:T$156)/10000-R9</f>
        <v>-0.2289</v>
      </c>
      <c r="S31" s="9">
        <f>SUMIF(累计考核费用!$B$107:$B$156,原格式费用考核表!$B31,累计考核费用!U$107:U$156)/10000-S9</f>
        <v>-0.999</v>
      </c>
      <c r="T31" s="9" t="e">
        <f ca="1">SUMIF(累计考核费用!$B$107:$B$156,原格式费用考核表!$B31,累计考核费用!#REF!)/10000-T9</f>
        <v>#REF!</v>
      </c>
      <c r="U31" s="9">
        <f>SUMIF(累计考核费用!$B$107:$B$156,原格式费用考核表!$B31,累计考核费用!V$107:V$156)/10000-U9</f>
        <v>0.0257</v>
      </c>
      <c r="V31" s="9">
        <f>SUMIF(累计考核费用!$B$107:$B$156,原格式费用考核表!$B31,累计考核费用!W$107:W$156)/10000-V9</f>
        <v>0.3854</v>
      </c>
      <c r="W31" s="9">
        <f>SUMIF(累计考核费用!$B$107:$B$156,原格式费用考核表!$B31,累计考核费用!AB$107:AB$156)/10000-W9</f>
        <v>1.477568</v>
      </c>
      <c r="X31" s="9" t="e">
        <f ca="1">SUMIF(累计考核费用!$B$107:$B$156,原格式费用考核表!$B31,累计考核费用!#REF!)/10000-X9</f>
        <v>#REF!</v>
      </c>
      <c r="Y31" s="9" t="e">
        <f ca="1">SUMIF(累计考核费用!$B$107:$B$156,原格式费用考核表!$B31,累计考核费用!#REF!)/10000-Y9</f>
        <v>#REF!</v>
      </c>
      <c r="Z31" s="9" t="e">
        <f ca="1">SUMIF(累计考核费用!$B$107:$B$156,原格式费用考核表!$B31,累计考核费用!#REF!)/10000-Z9</f>
        <v>#REF!</v>
      </c>
      <c r="AA31" s="9">
        <f>SUMIF(累计考核费用!$B$107:$B$156,原格式费用考核表!$B31,累计考核费用!AC$107:AC$156)/10000-AA9</f>
        <v>0</v>
      </c>
      <c r="AB31" s="9" t="e">
        <f ca="1">SUMIF(累计考核费用!$B$107:$B$156,原格式费用考核表!$B31,累计考核费用!#REF!)/10000-AB9</f>
        <v>#REF!</v>
      </c>
    </row>
    <row r="32" s="2" customFormat="1" customHeight="1" spans="1:28">
      <c r="A32" s="19"/>
      <c r="B32" s="15" t="s">
        <v>128</v>
      </c>
      <c r="C32" s="15" t="s">
        <v>102</v>
      </c>
      <c r="D32" s="9">
        <f>SUMIF(累计考核费用!$B$107:$B$156,原格式费用考核表!$B32,累计考核费用!C$107:C$156)/10000</f>
        <v>24.524057</v>
      </c>
      <c r="E32" s="9">
        <f>SUMIF(累计考核费用!$B$107:$B$156,原格式费用考核表!$B32,累计考核费用!D$107:D$156)/10000</f>
        <v>0</v>
      </c>
      <c r="F32" s="9">
        <f>SUMIF(累计考核费用!$B$107:$B$156,原格式费用考核表!$B32,累计考核费用!E$107:E$156)/10000</f>
        <v>24.524057</v>
      </c>
      <c r="G32" s="9">
        <f>SUMIF(累计考核费用!$B$107:$B$156,原格式费用考核表!$B32,累计考核费用!F$107:F$156)/10000</f>
        <v>0</v>
      </c>
      <c r="H32" s="9">
        <f>SUMIF(累计考核费用!$B$107:$B$156,原格式费用考核表!$B32,累计考核费用!G$107:G$156)/10000</f>
        <v>0</v>
      </c>
      <c r="I32" s="9">
        <f>SUMIF(累计考核费用!$B$107:$B$156,原格式费用考核表!$B32,累计考核费用!L$107:L$156)/10000</f>
        <v>0</v>
      </c>
      <c r="J32" s="9">
        <f>SUMIF(累计考核费用!$B$107:$B$156,原格式费用考核表!$B32,累计考核费用!M$107:M$156)/10000</f>
        <v>0</v>
      </c>
      <c r="K32" s="9">
        <f>SUMIF(累计考核费用!$B$107:$B$156,原格式费用考核表!$B32,累计考核费用!Q$107:Q$156)/10000</f>
        <v>0</v>
      </c>
      <c r="L32" s="9">
        <f>SUMIF(累计考核费用!$B$107:$B$156,原格式费用考核表!$B32,累计考核费用!P$107:P$156)/10000</f>
        <v>0</v>
      </c>
      <c r="M32" s="9">
        <f>SUMIF(累计考核费用!$B$107:$B$156,原格式费用考核表!$B32,累计考核费用!O$107:O$156)/10000</f>
        <v>0</v>
      </c>
      <c r="N32" s="9">
        <f>SUMIF(累计考核费用!$B$107:$B$156,原格式费用考核表!$B32,累计考核费用!R$107:R$156)/10000</f>
        <v>0</v>
      </c>
      <c r="O32" s="9" t="e">
        <f ca="1">SUMIF(累计考核费用!$B$107:$B$156,原格式费用考核表!$B32,累计考核费用!#REF!)/10000</f>
        <v>#REF!</v>
      </c>
      <c r="P32" s="9">
        <f>SUMIF(累计考核费用!$B$107:$B$156,原格式费用考核表!$B32,累计考核费用!S$107:S$156)/10000</f>
        <v>0</v>
      </c>
      <c r="Q32" s="9" t="e">
        <f ca="1">SUMIF(累计考核费用!$B$107:$B$156,原格式费用考核表!$B32,累计考核费用!#REF!)/10000</f>
        <v>#REF!</v>
      </c>
      <c r="R32" s="9">
        <f>SUMIF(累计考核费用!$B$107:$B$156,原格式费用考核表!$B32,累计考核费用!T$107:T$156)/10000</f>
        <v>0</v>
      </c>
      <c r="S32" s="9">
        <f>SUMIF(累计考核费用!$B$107:$B$156,原格式费用考核表!$B32,累计考核费用!U$107:U$156)/10000</f>
        <v>0</v>
      </c>
      <c r="T32" s="9" t="e">
        <f ca="1">SUMIF(累计考核费用!$B$107:$B$156,原格式费用考核表!$B32,累计考核费用!#REF!)/10000</f>
        <v>#REF!</v>
      </c>
      <c r="U32" s="9">
        <f>SUMIF(累计考核费用!$B$107:$B$156,原格式费用考核表!$B32,累计考核费用!V$107:V$156)/10000</f>
        <v>0</v>
      </c>
      <c r="V32" s="9">
        <f>SUMIF(累计考核费用!$B$107:$B$156,原格式费用考核表!$B32,累计考核费用!W$107:W$156)/10000</f>
        <v>0</v>
      </c>
      <c r="W32" s="9">
        <f>SUMIF(累计考核费用!$B$107:$B$156,原格式费用考核表!$B32,累计考核费用!AB$107:AB$156)/10000</f>
        <v>0</v>
      </c>
      <c r="X32" s="9" t="e">
        <f ca="1">SUMIF(累计考核费用!$B$107:$B$156,原格式费用考核表!$B32,累计考核费用!#REF!)/10000</f>
        <v>#REF!</v>
      </c>
      <c r="Y32" s="9" t="e">
        <f ca="1">SUMIF(累计考核费用!$B$107:$B$156,原格式费用考核表!$B32,累计考核费用!#REF!)/10000</f>
        <v>#REF!</v>
      </c>
      <c r="Z32" s="9" t="e">
        <f ca="1">SUMIF(累计考核费用!$B$107:$B$156,原格式费用考核表!$B32,累计考核费用!#REF!)/10000</f>
        <v>#REF!</v>
      </c>
      <c r="AA32" s="9">
        <f>SUMIF(累计考核费用!$B$107:$B$156,原格式费用考核表!$B32,累计考核费用!AC$107:AC$156)/10000</f>
        <v>0</v>
      </c>
      <c r="AB32" s="9" t="e">
        <f ca="1">SUMIF(累计考核费用!$B$107:$B$156,原格式费用考核表!$B32,累计考核费用!#REF!)/10000</f>
        <v>#REF!</v>
      </c>
    </row>
    <row r="33" s="2" customFormat="1" customHeight="1" spans="1:28">
      <c r="A33" s="19"/>
      <c r="B33" s="15" t="s">
        <v>129</v>
      </c>
      <c r="C33" s="15" t="s">
        <v>124</v>
      </c>
      <c r="D33" s="9">
        <f>SUMIF(累计考核费用!$B$107:$B$156,原格式费用考核表!$B33,累计考核费用!C$107:C$156)/10000</f>
        <v>75.015263</v>
      </c>
      <c r="E33" s="9">
        <f>SUMIF(累计考核费用!$B$107:$B$156,原格式费用考核表!$B33,累计考核费用!D$107:D$156)/10000</f>
        <v>0</v>
      </c>
      <c r="F33" s="9">
        <f>SUMIF(累计考核费用!$B$107:$B$156,原格式费用考核表!$B33,累计考核费用!E$107:E$156)/10000</f>
        <v>34.576114</v>
      </c>
      <c r="G33" s="9">
        <f>SUMIF(累计考核费用!$B$107:$B$156,原格式费用考核表!$B33,累计考核费用!F$107:F$156)/10000</f>
        <v>39.489574</v>
      </c>
      <c r="H33" s="9">
        <f>SUMIF(累计考核费用!$B$107:$B$156,原格式费用考核表!$B33,累计考核费用!G$107:G$156)/10000</f>
        <v>0.04</v>
      </c>
      <c r="I33" s="9">
        <f>SUMIF(累计考核费用!$B$107:$B$156,原格式费用考核表!$B33,累计考核费用!L$107:L$156)/10000</f>
        <v>0.744949</v>
      </c>
      <c r="J33" s="9">
        <f>SUMIF(累计考核费用!$B$107:$B$156,原格式费用考核表!$B33,累计考核费用!M$107:M$156)/10000</f>
        <v>0</v>
      </c>
      <c r="K33" s="9">
        <f>SUMIF(累计考核费用!$B$107:$B$156,原格式费用考核表!$B33,累计考核费用!Q$107:Q$156)/10000</f>
        <v>0</v>
      </c>
      <c r="L33" s="9">
        <f>SUMIF(累计考核费用!$B$107:$B$156,原格式费用考核表!$B33,累计考核费用!P$107:P$156)/10000</f>
        <v>0.602049</v>
      </c>
      <c r="M33" s="9">
        <f>SUMIF(累计考核费用!$B$107:$B$156,原格式费用考核表!$B33,累计考核费用!O$107:O$156)/10000</f>
        <v>0</v>
      </c>
      <c r="N33" s="9">
        <f>SUMIF(累计考核费用!$B$107:$B$156,原格式费用考核表!$B33,累计考核费用!R$107:R$156)/10000</f>
        <v>0.1429</v>
      </c>
      <c r="O33" s="9" t="e">
        <f ca="1">SUMIF(累计考核费用!$B$107:$B$156,原格式费用考核表!$B33,累计考核费用!#REF!)/10000</f>
        <v>#REF!</v>
      </c>
      <c r="P33" s="9">
        <f>SUMIF(累计考核费用!$B$107:$B$156,原格式费用考核表!$B33,累计考核费用!S$107:S$156)/10000</f>
        <v>0.639245</v>
      </c>
      <c r="Q33" s="9" t="e">
        <f ca="1">SUMIF(累计考核费用!$B$107:$B$156,原格式费用考核表!$B33,累计考核费用!#REF!)/10000</f>
        <v>#REF!</v>
      </c>
      <c r="R33" s="9">
        <f>SUMIF(累计考核费用!$B$107:$B$156,原格式费用考核表!$B33,累计考核费用!T$107:T$156)/10000</f>
        <v>0.164626</v>
      </c>
      <c r="S33" s="9">
        <f>SUMIF(累计考核费用!$B$107:$B$156,原格式费用考核表!$B33,累计考核费用!U$107:U$156)/10000</f>
        <v>0</v>
      </c>
      <c r="T33" s="9" t="e">
        <f ca="1">SUMIF(累计考核费用!$B$107:$B$156,原格式费用考核表!$B33,累计考核费用!#REF!)/10000</f>
        <v>#REF!</v>
      </c>
      <c r="U33" s="9">
        <f>SUMIF(累计考核费用!$B$107:$B$156,原格式费用考核表!$B33,累计考核费用!V$107:V$156)/10000</f>
        <v>0.07416</v>
      </c>
      <c r="V33" s="9">
        <f>SUMIF(累计考核费用!$B$107:$B$156,原格式费用考核表!$B33,累计考核费用!W$107:W$156)/10000</f>
        <v>0.090466</v>
      </c>
      <c r="W33" s="9">
        <f>SUMIF(累计考核费用!$B$107:$B$156,原格式费用考核表!$B33,累计考核费用!AB$107:AB$156)/10000</f>
        <v>0.61</v>
      </c>
      <c r="X33" s="9" t="e">
        <f ca="1">SUMIF(累计考核费用!$B$107:$B$156,原格式费用考核表!$B33,累计考核费用!#REF!)/10000</f>
        <v>#REF!</v>
      </c>
      <c r="Y33" s="9" t="e">
        <f ca="1">SUMIF(累计考核费用!$B$107:$B$156,原格式费用考核表!$B33,累计考核费用!#REF!)/10000</f>
        <v>#REF!</v>
      </c>
      <c r="Z33" s="9" t="e">
        <f ca="1">SUMIF(累计考核费用!$B$107:$B$156,原格式费用考核表!$B33,累计考核费用!#REF!)/10000</f>
        <v>#REF!</v>
      </c>
      <c r="AA33" s="9">
        <f>SUMIF(累计考核费用!$B$107:$B$156,原格式费用考核表!$B33,累计考核费用!AC$107:AC$156)/10000</f>
        <v>0.033</v>
      </c>
      <c r="AB33" s="9" t="e">
        <f ca="1">SUMIF(累计考核费用!$B$107:$B$156,原格式费用考核表!$B33,累计考核费用!#REF!)/10000</f>
        <v>#REF!</v>
      </c>
    </row>
    <row r="34" s="2" customFormat="1" customHeight="1" spans="1:28">
      <c r="A34" s="19"/>
      <c r="B34" s="15" t="s">
        <v>118</v>
      </c>
      <c r="C34" s="15" t="s">
        <v>125</v>
      </c>
      <c r="D34" s="9">
        <f>SUMIF(累计考核费用!$B$107:$B$156,原格式费用考核表!$B34,累计考核费用!C$107:C$156)/10000</f>
        <v>39.160947</v>
      </c>
      <c r="E34" s="9">
        <f>SUMIF(累计考核费用!$B$107:$B$156,原格式费用考核表!$B34,累计考核费用!D$107:D$156)/10000</f>
        <v>0</v>
      </c>
      <c r="F34" s="9">
        <f>SUMIF(累计考核费用!$B$107:$B$156,原格式费用考核表!$B34,累计考核费用!E$107:E$156)/10000</f>
        <v>8.773079</v>
      </c>
      <c r="G34" s="9">
        <f>SUMIF(累计考核费用!$B$107:$B$156,原格式费用考核表!$B34,累计考核费用!F$107:F$156)/10000</f>
        <v>28.064478</v>
      </c>
      <c r="H34" s="9">
        <f>SUMIF(累计考核费用!$B$107:$B$156,原格式费用考核表!$B34,累计考核费用!G$107:G$156)/10000</f>
        <v>0.318069</v>
      </c>
      <c r="I34" s="9">
        <f>SUMIF(累计考核费用!$B$107:$B$156,原格式费用考核表!$B34,累计考核费用!L$107:L$156)/10000</f>
        <v>0.873385</v>
      </c>
      <c r="J34" s="9">
        <f>SUMIF(累计考核费用!$B$107:$B$156,原格式费用考核表!$B34,累计考核费用!M$107:M$156)/10000</f>
        <v>0.081866</v>
      </c>
      <c r="K34" s="9">
        <f>SUMIF(累计考核费用!$B$107:$B$156,原格式费用考核表!$B34,累计考核费用!Q$107:Q$156)/10000</f>
        <v>0.190015</v>
      </c>
      <c r="L34" s="9">
        <f>SUMIF(累计考核费用!$B$107:$B$156,原格式费用考核表!$B34,累计考核费用!P$107:P$156)/10000</f>
        <v>0.35668</v>
      </c>
      <c r="M34" s="9">
        <f>SUMIF(累计考核费用!$B$107:$B$156,原格式费用考核表!$B34,累计考核费用!O$107:O$156)/10000</f>
        <v>0.087067</v>
      </c>
      <c r="N34" s="9">
        <f>SUMIF(累计考核费用!$B$107:$B$156,原格式费用考核表!$B34,累计考核费用!R$107:R$156)/10000</f>
        <v>0.12604</v>
      </c>
      <c r="O34" s="9" t="e">
        <f ca="1">SUMIF(累计考核费用!$B$107:$B$156,原格式费用考核表!$B34,累计考核费用!#REF!)/10000</f>
        <v>#REF!</v>
      </c>
      <c r="P34" s="9">
        <f>SUMIF(累计考核费用!$B$107:$B$156,原格式费用考核表!$B34,累计考核费用!S$107:S$156)/10000</f>
        <v>0.66766</v>
      </c>
      <c r="Q34" s="9" t="e">
        <f ca="1">SUMIF(累计考核费用!$B$107:$B$156,原格式费用考核表!$B34,累计考核费用!#REF!)/10000</f>
        <v>#REF!</v>
      </c>
      <c r="R34" s="9">
        <f>SUMIF(累计考核费用!$B$107:$B$156,原格式费用考核表!$B34,累计考核费用!T$107:T$156)/10000</f>
        <v>1.131936</v>
      </c>
      <c r="S34" s="9">
        <f>SUMIF(累计考核费用!$B$107:$B$156,原格式费用考核表!$B34,累计考核费用!U$107:U$156)/10000</f>
        <v>0.086252</v>
      </c>
      <c r="T34" s="9" t="e">
        <f ca="1">SUMIF(累计考核费用!$B$107:$B$156,原格式费用考核表!$B34,累计考核费用!#REF!)/10000</f>
        <v>#REF!</v>
      </c>
      <c r="U34" s="9">
        <f>SUMIF(累计考核费用!$B$107:$B$156,原格式费用考核表!$B34,累计考核费用!V$107:V$156)/10000</f>
        <v>0.4339</v>
      </c>
      <c r="V34" s="9">
        <f>SUMIF(累计考核费用!$B$107:$B$156,原格式费用考核表!$B34,累计考核费用!W$107:W$156)/10000</f>
        <v>0.251282</v>
      </c>
      <c r="W34" s="9">
        <f>SUMIF(累计考核费用!$B$107:$B$156,原格式费用考核表!$B34,累计考核费用!AB$107:AB$156)/10000</f>
        <v>0.2464</v>
      </c>
      <c r="X34" s="9" t="e">
        <f ca="1">SUMIF(累计考核费用!$B$107:$B$156,原格式费用考核表!$B34,累计考核费用!#REF!)/10000</f>
        <v>#REF!</v>
      </c>
      <c r="Y34" s="9" t="e">
        <f ca="1">SUMIF(累计考核费用!$B$107:$B$156,原格式费用考核表!$B34,累计考核费用!#REF!)/10000</f>
        <v>#REF!</v>
      </c>
      <c r="Z34" s="9" t="e">
        <f ca="1">SUMIF(累计考核费用!$B$107:$B$156,原格式费用考核表!$B34,累计考核费用!#REF!)/10000</f>
        <v>#REF!</v>
      </c>
      <c r="AA34" s="9">
        <f>SUMIF(累计考核费用!$B$107:$B$156,原格式费用考核表!$B34,累计考核费用!AC$107:AC$156)/10000</f>
        <v>0.62425</v>
      </c>
      <c r="AB34" s="9" t="e">
        <f ca="1">SUMIF(累计考核费用!$B$107:$B$156,原格式费用考核表!$B34,累计考核费用!#REF!)/10000</f>
        <v>#REF!</v>
      </c>
    </row>
    <row r="35" s="2" customFormat="1" customHeight="1" spans="1:28">
      <c r="A35" s="19"/>
      <c r="B35" s="15" t="s">
        <v>119</v>
      </c>
      <c r="C35" s="15" t="s">
        <v>126</v>
      </c>
      <c r="D35" s="9">
        <f>SUMIF(累计考核费用!$B$107:$B$156,原格式费用考核表!$B35,累计考核费用!C$107:C$156)/10000</f>
        <v>99.931946</v>
      </c>
      <c r="E35" s="9">
        <f>SUMIF(累计考核费用!$B$107:$B$156,原格式费用考核表!$B35,累计考核费用!D$107:D$156)/10000</f>
        <v>0</v>
      </c>
      <c r="F35" s="9">
        <f>SUMIF(累计考核费用!$B$107:$B$156,原格式费用考核表!$B35,累计考核费用!E$107:E$156)/10000</f>
        <v>28.392142</v>
      </c>
      <c r="G35" s="9">
        <f>SUMIF(累计考核费用!$B$107:$B$156,原格式费用考核表!$B35,累计考核费用!F$107:F$156)/10000</f>
        <v>35.997413</v>
      </c>
      <c r="H35" s="9">
        <f>SUMIF(累计考核费用!$B$107:$B$156,原格式费用考核表!$B35,累计考核费用!G$107:G$156)/10000</f>
        <v>3.997013</v>
      </c>
      <c r="I35" s="9">
        <f>SUMIF(累计考核费用!$B$107:$B$156,原格式费用考核表!$B35,累计考核费用!L$107:L$156)/10000</f>
        <v>6.093043</v>
      </c>
      <c r="J35" s="9">
        <f>SUMIF(累计考核费用!$B$107:$B$156,原格式费用考核表!$B35,累计考核费用!M$107:M$156)/10000</f>
        <v>0.309741</v>
      </c>
      <c r="K35" s="9">
        <f>SUMIF(累计考核费用!$B$107:$B$156,原格式费用考核表!$B35,累计考核费用!Q$107:Q$156)/10000</f>
        <v>0.796874</v>
      </c>
      <c r="L35" s="9">
        <f>SUMIF(累计考核费用!$B$107:$B$156,原格式费用考核表!$B35,累计考核费用!P$107:P$156)/10000</f>
        <v>0.408561</v>
      </c>
      <c r="M35" s="9">
        <f>SUMIF(累计考核费用!$B$107:$B$156,原格式费用考核表!$B35,累计考核费用!O$107:O$156)/10000</f>
        <v>0.417291</v>
      </c>
      <c r="N35" s="9">
        <f>SUMIF(累计考核费用!$B$107:$B$156,原格式费用考核表!$B35,累计考核费用!R$107:R$156)/10000</f>
        <v>3.662596</v>
      </c>
      <c r="O35" s="9" t="e">
        <f ca="1">SUMIF(累计考核费用!$B$107:$B$156,原格式费用考核表!$B35,累计考核费用!#REF!)/10000</f>
        <v>#REF!</v>
      </c>
      <c r="P35" s="9">
        <f>SUMIF(累计考核费用!$B$107:$B$156,原格式费用考核表!$B35,累计考核费用!S$107:S$156)/10000</f>
        <v>1.133426</v>
      </c>
      <c r="Q35" s="9" t="e">
        <f ca="1">SUMIF(累计考核费用!$B$107:$B$156,原格式费用考核表!$B35,累计考核费用!#REF!)/10000</f>
        <v>#REF!</v>
      </c>
      <c r="R35" s="9">
        <f>SUMIF(累计考核费用!$B$107:$B$156,原格式费用考核表!$B35,累计考核费用!T$107:T$156)/10000</f>
        <v>25.452335</v>
      </c>
      <c r="S35" s="9">
        <f>SUMIF(累计考核费用!$B$107:$B$156,原格式费用考核表!$B35,累计考核费用!U$107:U$156)/10000</f>
        <v>7.474812</v>
      </c>
      <c r="T35" s="9" t="e">
        <f ca="1">SUMIF(累计考核费用!$B$107:$B$156,原格式费用考核表!$B35,累计考核费用!#REF!)/10000</f>
        <v>#REF!</v>
      </c>
      <c r="U35" s="9">
        <f>SUMIF(累计考核费用!$B$107:$B$156,原格式费用考核表!$B35,累计考核费用!V$107:V$156)/10000</f>
        <v>7.119267</v>
      </c>
      <c r="V35" s="9">
        <f>SUMIF(累计考核费用!$B$107:$B$156,原格式费用考核表!$B35,累计考核费用!W$107:W$156)/10000</f>
        <v>6.083199</v>
      </c>
      <c r="W35" s="9">
        <f>SUMIF(累计考核费用!$B$107:$B$156,原格式费用考核表!$B35,累计考核费用!AB$107:AB$156)/10000</f>
        <v>1.468872</v>
      </c>
      <c r="X35" s="9" t="e">
        <f ca="1">SUMIF(累计考核费用!$B$107:$B$156,原格式费用考核表!$B35,累计考核费用!#REF!)/10000</f>
        <v>#REF!</v>
      </c>
      <c r="Y35" s="9" t="e">
        <f ca="1">SUMIF(累计考核费用!$B$107:$B$156,原格式费用考核表!$B35,累计考核费用!#REF!)/10000</f>
        <v>#REF!</v>
      </c>
      <c r="Z35" s="9" t="e">
        <f ca="1">SUMIF(累计考核费用!$B$107:$B$156,原格式费用考核表!$B35,累计考核费用!#REF!)/10000</f>
        <v>#REF!</v>
      </c>
      <c r="AA35" s="9">
        <f>SUMIF(累计考核费用!$B$107:$B$156,原格式费用考核表!$B35,累计考核费用!AC$107:AC$156)/10000</f>
        <v>0.465698</v>
      </c>
      <c r="AB35" s="9" t="e">
        <f ca="1">SUMIF(累计考核费用!$B$107:$B$156,原格式费用考核表!$B35,累计考核费用!#REF!)/10000</f>
        <v>#REF!</v>
      </c>
    </row>
    <row r="36" s="2" customFormat="1" customHeight="1" spans="1:28">
      <c r="A36" s="19"/>
      <c r="B36" s="15" t="s">
        <v>130</v>
      </c>
      <c r="C36" s="15" t="s">
        <v>127</v>
      </c>
      <c r="D36" s="9">
        <f>SUMIF(累计考核费用!$B$107:$B$156,原格式费用考核表!$B36,累计考核费用!C$107:C$156)/10000</f>
        <v>212.290077</v>
      </c>
      <c r="E36" s="9">
        <f>SUMIF(累计考核费用!$B$107:$B$156,原格式费用考核表!$B36,累计考核费用!D$107:D$156)/10000</f>
        <v>0</v>
      </c>
      <c r="F36" s="9">
        <f>SUMIF(累计考核费用!$B$107:$B$156,原格式费用考核表!$B36,累计考核费用!E$107:E$156)/10000</f>
        <v>156.477077</v>
      </c>
      <c r="G36" s="9">
        <f>SUMIF(累计考核费用!$B$107:$B$156,原格式费用考核表!$B36,累计考核费用!F$107:F$156)/10000</f>
        <v>55.813</v>
      </c>
      <c r="H36" s="9">
        <f>SUMIF(累计考核费用!$B$107:$B$156,原格式费用考核表!$B36,累计考核费用!G$107:G$156)/10000</f>
        <v>0</v>
      </c>
      <c r="I36" s="9">
        <f>SUMIF(累计考核费用!$B$107:$B$156,原格式费用考核表!$B36,累计考核费用!L$107:L$156)/10000</f>
        <v>0</v>
      </c>
      <c r="J36" s="9">
        <f>SUMIF(累计考核费用!$B$107:$B$156,原格式费用考核表!$B36,累计考核费用!M$107:M$156)/10000</f>
        <v>0</v>
      </c>
      <c r="K36" s="9">
        <f>SUMIF(累计考核费用!$B$107:$B$156,原格式费用考核表!$B36,累计考核费用!Q$107:Q$156)/10000</f>
        <v>0</v>
      </c>
      <c r="L36" s="9">
        <f>SUMIF(累计考核费用!$B$107:$B$156,原格式费用考核表!$B36,累计考核费用!P$107:P$156)/10000</f>
        <v>0</v>
      </c>
      <c r="M36" s="9">
        <f>SUMIF(累计考核费用!$B$107:$B$156,原格式费用考核表!$B36,累计考核费用!O$107:O$156)/10000</f>
        <v>0</v>
      </c>
      <c r="N36" s="9">
        <f>SUMIF(累计考核费用!$B$107:$B$156,原格式费用考核表!$B36,累计考核费用!R$107:R$156)/10000</f>
        <v>0</v>
      </c>
      <c r="O36" s="9" t="e">
        <f ca="1">SUMIF(累计考核费用!$B$107:$B$156,原格式费用考核表!$B36,累计考核费用!#REF!)/10000</f>
        <v>#REF!</v>
      </c>
      <c r="P36" s="9">
        <f>SUMIF(累计考核费用!$B$107:$B$156,原格式费用考核表!$B36,累计考核费用!S$107:S$156)/10000</f>
        <v>0.8</v>
      </c>
      <c r="Q36" s="9" t="e">
        <f ca="1">SUMIF(累计考核费用!$B$107:$B$156,原格式费用考核表!$B36,累计考核费用!#REF!)/10000</f>
        <v>#REF!</v>
      </c>
      <c r="R36" s="9">
        <f>SUMIF(累计考核费用!$B$107:$B$156,原格式费用考核表!$B36,累计考核费用!T$107:T$156)/10000</f>
        <v>0</v>
      </c>
      <c r="S36" s="9">
        <f>SUMIF(累计考核费用!$B$107:$B$156,原格式费用考核表!$B36,累计考核费用!U$107:U$156)/10000</f>
        <v>0</v>
      </c>
      <c r="T36" s="9" t="e">
        <f ca="1">SUMIF(累计考核费用!$B$107:$B$156,原格式费用考核表!$B36,累计考核费用!#REF!)/10000</f>
        <v>#REF!</v>
      </c>
      <c r="U36" s="9">
        <f>SUMIF(累计考核费用!$B$107:$B$156,原格式费用考核表!$B36,累计考核费用!V$107:V$156)/10000</f>
        <v>0</v>
      </c>
      <c r="V36" s="9">
        <f>SUMIF(累计考核费用!$B$107:$B$156,原格式费用考核表!$B36,累计考核费用!W$107:W$156)/10000</f>
        <v>0</v>
      </c>
      <c r="W36" s="9">
        <f>SUMIF(累计考核费用!$B$107:$B$156,原格式费用考核表!$B36,累计考核费用!AB$107:AB$156)/10000</f>
        <v>0</v>
      </c>
      <c r="X36" s="9" t="e">
        <f ca="1">SUMIF(累计考核费用!$B$107:$B$156,原格式费用考核表!$B36,累计考核费用!#REF!)/10000</f>
        <v>#REF!</v>
      </c>
      <c r="Y36" s="9" t="e">
        <f ca="1">SUMIF(累计考核费用!$B$107:$B$156,原格式费用考核表!$B36,累计考核费用!#REF!)/10000</f>
        <v>#REF!</v>
      </c>
      <c r="Z36" s="9" t="e">
        <f ca="1">SUMIF(累计考核费用!$B$107:$B$156,原格式费用考核表!$B36,累计考核费用!#REF!)/10000</f>
        <v>#REF!</v>
      </c>
      <c r="AA36" s="9">
        <f>SUMIF(累计考核费用!$B$107:$B$156,原格式费用考核表!$B36,累计考核费用!AC$107:AC$156)/10000</f>
        <v>0</v>
      </c>
      <c r="AB36" s="9" t="e">
        <f ca="1">SUMIF(累计考核费用!$B$107:$B$156,原格式费用考核表!$B36,累计考核费用!#REF!)/10000</f>
        <v>#REF!</v>
      </c>
    </row>
    <row r="37" s="2" customFormat="1" customHeight="1" spans="1:28">
      <c r="A37" s="19"/>
      <c r="B37" s="15" t="s">
        <v>107</v>
      </c>
      <c r="C37" s="15" t="s">
        <v>128</v>
      </c>
      <c r="D37" s="9">
        <f>SUMIF(累计考核费用!$B$107:$B$156,原格式费用考核表!$B37,累计考核费用!C$107:C$156)/10000</f>
        <v>73.969923</v>
      </c>
      <c r="E37" s="9">
        <f>SUMIF(累计考核费用!$B$107:$B$156,原格式费用考核表!$B37,累计考核费用!D$107:D$156)/10000</f>
        <v>0</v>
      </c>
      <c r="F37" s="9">
        <f>SUMIF(累计考核费用!$B$107:$B$156,原格式费用考核表!$B37,累计考核费用!E$107:E$156)/10000</f>
        <v>34.89</v>
      </c>
      <c r="G37" s="9">
        <f>SUMIF(累计考核费用!$B$107:$B$156,原格式费用考核表!$B37,累计考核费用!F$107:F$156)/10000</f>
        <v>39.079923</v>
      </c>
      <c r="H37" s="9">
        <f>SUMIF(累计考核费用!$B$107:$B$156,原格式费用考核表!$B37,累计考核费用!G$107:G$156)/10000</f>
        <v>0</v>
      </c>
      <c r="I37" s="9">
        <f>SUMIF(累计考核费用!$B$107:$B$156,原格式费用考核表!$B37,累计考核费用!L$107:L$156)/10000</f>
        <v>0</v>
      </c>
      <c r="J37" s="9">
        <f>SUMIF(累计考核费用!$B$107:$B$156,原格式费用考核表!$B37,累计考核费用!M$107:M$156)/10000</f>
        <v>0</v>
      </c>
      <c r="K37" s="9">
        <f>SUMIF(累计考核费用!$B$107:$B$156,原格式费用考核表!$B37,累计考核费用!Q$107:Q$156)/10000</f>
        <v>0</v>
      </c>
      <c r="L37" s="9">
        <f>SUMIF(累计考核费用!$B$107:$B$156,原格式费用考核表!$B37,累计考核费用!P$107:P$156)/10000</f>
        <v>0</v>
      </c>
      <c r="M37" s="9">
        <f>SUMIF(累计考核费用!$B$107:$B$156,原格式费用考核表!$B37,累计考核费用!O$107:O$156)/10000</f>
        <v>0</v>
      </c>
      <c r="N37" s="9">
        <f>SUMIF(累计考核费用!$B$107:$B$156,原格式费用考核表!$B37,累计考核费用!R$107:R$156)/10000</f>
        <v>0</v>
      </c>
      <c r="O37" s="9" t="e">
        <f ca="1">SUMIF(累计考核费用!$B$107:$B$156,原格式费用考核表!$B37,累计考核费用!#REF!)/10000</f>
        <v>#REF!</v>
      </c>
      <c r="P37" s="9">
        <f>SUMIF(累计考核费用!$B$107:$B$156,原格式费用考核表!$B37,累计考核费用!S$107:S$156)/10000</f>
        <v>0</v>
      </c>
      <c r="Q37" s="9" t="e">
        <f ca="1">SUMIF(累计考核费用!$B$107:$B$156,原格式费用考核表!$B37,累计考核费用!#REF!)/10000</f>
        <v>#REF!</v>
      </c>
      <c r="R37" s="9">
        <f>SUMIF(累计考核费用!$B$107:$B$156,原格式费用考核表!$B37,累计考核费用!T$107:T$156)/10000</f>
        <v>0</v>
      </c>
      <c r="S37" s="9">
        <f>SUMIF(累计考核费用!$B$107:$B$156,原格式费用考核表!$B37,累计考核费用!U$107:U$156)/10000</f>
        <v>0</v>
      </c>
      <c r="T37" s="9" t="e">
        <f ca="1">SUMIF(累计考核费用!$B$107:$B$156,原格式费用考核表!$B37,累计考核费用!#REF!)/10000</f>
        <v>#REF!</v>
      </c>
      <c r="U37" s="9">
        <f>SUMIF(累计考核费用!$B$107:$B$156,原格式费用考核表!$B37,累计考核费用!V$107:V$156)/10000</f>
        <v>0</v>
      </c>
      <c r="V37" s="9">
        <f>SUMIF(累计考核费用!$B$107:$B$156,原格式费用考核表!$B37,累计考核费用!W$107:W$156)/10000</f>
        <v>0</v>
      </c>
      <c r="W37" s="9">
        <f>SUMIF(累计考核费用!$B$107:$B$156,原格式费用考核表!$B37,累计考核费用!AB$107:AB$156)/10000</f>
        <v>0</v>
      </c>
      <c r="X37" s="9" t="e">
        <f ca="1">SUMIF(累计考核费用!$B$107:$B$156,原格式费用考核表!$B37,累计考核费用!#REF!)/10000</f>
        <v>#REF!</v>
      </c>
      <c r="Y37" s="9" t="e">
        <f ca="1">SUMIF(累计考核费用!$B$107:$B$156,原格式费用考核表!$B37,累计考核费用!#REF!)/10000</f>
        <v>#REF!</v>
      </c>
      <c r="Z37" s="9" t="e">
        <f ca="1">SUMIF(累计考核费用!$B$107:$B$156,原格式费用考核表!$B37,累计考核费用!#REF!)/10000</f>
        <v>#REF!</v>
      </c>
      <c r="AA37" s="9">
        <f>SUMIF(累计考核费用!$B$107:$B$156,原格式费用考核表!$B37,累计考核费用!AC$107:AC$156)/10000</f>
        <v>0</v>
      </c>
      <c r="AB37" s="9" t="e">
        <f ca="1">SUMIF(累计考核费用!$B$107:$B$156,原格式费用考核表!$B37,累计考核费用!#REF!)/10000</f>
        <v>#REF!</v>
      </c>
    </row>
    <row r="38" s="2" customFormat="1" customHeight="1" spans="1:28">
      <c r="A38" s="19"/>
      <c r="B38" s="15" t="s">
        <v>131</v>
      </c>
      <c r="C38" s="15" t="s">
        <v>129</v>
      </c>
      <c r="D38" s="9">
        <f>SUMIF(累计考核费用!$B$107:$B$156,原格式费用考核表!$B38,累计考核费用!C$107:C$156)/10000</f>
        <v>86.493218</v>
      </c>
      <c r="E38" s="9">
        <f>SUMIF(累计考核费用!$B$107:$B$156,原格式费用考核表!$B38,累计考核费用!D$107:D$156)/10000</f>
        <v>0</v>
      </c>
      <c r="F38" s="9">
        <f>SUMIF(累计考核费用!$B$107:$B$156,原格式费用考核表!$B38,累计考核费用!E$107:E$156)/10000</f>
        <v>43.199905</v>
      </c>
      <c r="G38" s="9">
        <f>SUMIF(累计考核费用!$B$107:$B$156,原格式费用考核表!$B38,累计考核费用!F$107:F$156)/10000</f>
        <v>5.447555</v>
      </c>
      <c r="H38" s="9">
        <f>SUMIF(累计考核费用!$B$107:$B$156,原格式费用考核表!$B38,累计考核费用!G$107:G$156)/10000</f>
        <v>0</v>
      </c>
      <c r="I38" s="9">
        <f>SUMIF(累计考核费用!$B$107:$B$156,原格式费用考核表!$B38,累计考核费用!L$107:L$156)/10000</f>
        <v>11.320754</v>
      </c>
      <c r="J38" s="9">
        <f>SUMIF(累计考核费用!$B$107:$B$156,原格式费用考核表!$B38,累计考核费用!M$107:M$156)/10000</f>
        <v>0</v>
      </c>
      <c r="K38" s="9">
        <f>SUMIF(累计考核费用!$B$107:$B$156,原格式费用考核表!$B38,累计考核费用!Q$107:Q$156)/10000</f>
        <v>0</v>
      </c>
      <c r="L38" s="9">
        <f>SUMIF(累计考核费用!$B$107:$B$156,原格式费用考核表!$B38,累计考核费用!P$107:P$156)/10000</f>
        <v>0</v>
      </c>
      <c r="M38" s="9">
        <f>SUMIF(累计考核费用!$B$107:$B$156,原格式费用考核表!$B38,累计考核费用!O$107:O$156)/10000</f>
        <v>0</v>
      </c>
      <c r="N38" s="9">
        <f>SUMIF(累计考核费用!$B$107:$B$156,原格式费用考核表!$B38,累计考核费用!R$107:R$156)/10000</f>
        <v>0</v>
      </c>
      <c r="O38" s="9" t="e">
        <f ca="1">SUMIF(累计考核费用!$B$107:$B$156,原格式费用考核表!$B38,累计考核费用!#REF!)/10000</f>
        <v>#REF!</v>
      </c>
      <c r="P38" s="9">
        <f>SUMIF(累计考核费用!$B$107:$B$156,原格式费用考核表!$B38,累计考核费用!S$107:S$156)/10000</f>
        <v>0</v>
      </c>
      <c r="Q38" s="9" t="e">
        <f ca="1">SUMIF(累计考核费用!$B$107:$B$156,原格式费用考核表!$B38,累计考核费用!#REF!)/10000</f>
        <v>#REF!</v>
      </c>
      <c r="R38" s="9">
        <f>SUMIF(累计考核费用!$B$107:$B$156,原格式费用考核表!$B38,累计考核费用!T$107:T$156)/10000</f>
        <v>26.525004</v>
      </c>
      <c r="S38" s="9">
        <f>SUMIF(累计考核费用!$B$107:$B$156,原格式费用考核表!$B38,累计考核费用!U$107:U$156)/10000</f>
        <v>0</v>
      </c>
      <c r="T38" s="9" t="e">
        <f ca="1">SUMIF(累计考核费用!$B$107:$B$156,原格式费用考核表!$B38,累计考核费用!#REF!)/10000</f>
        <v>#REF!</v>
      </c>
      <c r="U38" s="9">
        <f>SUMIF(累计考核费用!$B$107:$B$156,原格式费用考核表!$B38,累计考核费用!V$107:V$156)/10000</f>
        <v>23.63986</v>
      </c>
      <c r="V38" s="9">
        <f>SUMIF(累计考核费用!$B$107:$B$156,原格式费用考核表!$B38,累计考核费用!W$107:W$156)/10000</f>
        <v>2.885144</v>
      </c>
      <c r="W38" s="9">
        <f>SUMIF(累计考核费用!$B$107:$B$156,原格式费用考核表!$B38,累计考核费用!AB$107:AB$156)/10000</f>
        <v>0</v>
      </c>
      <c r="X38" s="9" t="e">
        <f ca="1">SUMIF(累计考核费用!$B$107:$B$156,原格式费用考核表!$B38,累计考核费用!#REF!)/10000</f>
        <v>#REF!</v>
      </c>
      <c r="Y38" s="9" t="e">
        <f ca="1">SUMIF(累计考核费用!$B$107:$B$156,原格式费用考核表!$B38,累计考核费用!#REF!)/10000</f>
        <v>#REF!</v>
      </c>
      <c r="Z38" s="9" t="e">
        <f ca="1">SUMIF(累计考核费用!$B$107:$B$156,原格式费用考核表!$B38,累计考核费用!#REF!)/10000</f>
        <v>#REF!</v>
      </c>
      <c r="AA38" s="9">
        <f>SUMIF(累计考核费用!$B$107:$B$156,原格式费用考核表!$B38,累计考核费用!AC$107:AC$156)/10000</f>
        <v>0</v>
      </c>
      <c r="AB38" s="9" t="e">
        <f ca="1">SUMIF(累计考核费用!$B$107:$B$156,原格式费用考核表!$B38,累计考核费用!#REF!)/10000</f>
        <v>#REF!</v>
      </c>
    </row>
    <row r="39" s="2" customFormat="1" customHeight="1" spans="1:28">
      <c r="A39" s="19"/>
      <c r="B39" s="15" t="s">
        <v>132</v>
      </c>
      <c r="C39" s="15" t="s">
        <v>130</v>
      </c>
      <c r="D39" s="9">
        <f>SUMIF(累计考核费用!$B$107:$B$156,原格式费用考核表!$B39,累计考核费用!C$107:C$156)/10000</f>
        <v>0</v>
      </c>
      <c r="E39" s="9">
        <f>SUMIF(累计考核费用!$B$107:$B$156,原格式费用考核表!$B39,累计考核费用!D$107:D$156)/10000</f>
        <v>0</v>
      </c>
      <c r="F39" s="9">
        <f>SUMIF(累计考核费用!$B$107:$B$156,原格式费用考核表!$B39,累计考核费用!E$107:E$156)/10000</f>
        <v>0</v>
      </c>
      <c r="G39" s="9">
        <f>SUMIF(累计考核费用!$B$107:$B$156,原格式费用考核表!$B39,累计考核费用!F$107:F$156)/10000</f>
        <v>0</v>
      </c>
      <c r="H39" s="9">
        <f>SUMIF(累计考核费用!$B$107:$B$156,原格式费用考核表!$B39,累计考核费用!G$107:G$156)/10000</f>
        <v>0</v>
      </c>
      <c r="I39" s="9">
        <f>SUMIF(累计考核费用!$B$107:$B$156,原格式费用考核表!$B39,累计考核费用!L$107:L$156)/10000</f>
        <v>0</v>
      </c>
      <c r="J39" s="9">
        <f>SUMIF(累计考核费用!$B$107:$B$156,原格式费用考核表!$B39,累计考核费用!M$107:M$156)/10000</f>
        <v>0</v>
      </c>
      <c r="K39" s="9">
        <f>SUMIF(累计考核费用!$B$107:$B$156,原格式费用考核表!$B39,累计考核费用!Q$107:Q$156)/10000</f>
        <v>0</v>
      </c>
      <c r="L39" s="9">
        <f>SUMIF(累计考核费用!$B$107:$B$156,原格式费用考核表!$B39,累计考核费用!P$107:P$156)/10000</f>
        <v>0</v>
      </c>
      <c r="M39" s="9">
        <f>SUMIF(累计考核费用!$B$107:$B$156,原格式费用考核表!$B39,累计考核费用!O$107:O$156)/10000</f>
        <v>0</v>
      </c>
      <c r="N39" s="9">
        <f>SUMIF(累计考核费用!$B$107:$B$156,原格式费用考核表!$B39,累计考核费用!R$107:R$156)/10000</f>
        <v>0</v>
      </c>
      <c r="O39" s="9" t="e">
        <f ca="1">SUMIF(累计考核费用!$B$107:$B$156,原格式费用考核表!$B39,累计考核费用!#REF!)/10000</f>
        <v>#REF!</v>
      </c>
      <c r="P39" s="9">
        <f>SUMIF(累计考核费用!$B$107:$B$156,原格式费用考核表!$B39,累计考核费用!S$107:S$156)/10000</f>
        <v>0</v>
      </c>
      <c r="Q39" s="9" t="e">
        <f ca="1">SUMIF(累计考核费用!$B$107:$B$156,原格式费用考核表!$B39,累计考核费用!#REF!)/10000</f>
        <v>#REF!</v>
      </c>
      <c r="R39" s="9">
        <f>SUMIF(累计考核费用!$B$107:$B$156,原格式费用考核表!$B39,累计考核费用!T$107:T$156)/10000</f>
        <v>0</v>
      </c>
      <c r="S39" s="9">
        <f>SUMIF(累计考核费用!$B$107:$B$156,原格式费用考核表!$B39,累计考核费用!U$107:U$156)/10000</f>
        <v>0</v>
      </c>
      <c r="T39" s="9" t="e">
        <f ca="1">SUMIF(累计考核费用!$B$107:$B$156,原格式费用考核表!$B39,累计考核费用!#REF!)/10000</f>
        <v>#REF!</v>
      </c>
      <c r="U39" s="9">
        <f>SUMIF(累计考核费用!$B$107:$B$156,原格式费用考核表!$B39,累计考核费用!V$107:V$156)/10000</f>
        <v>0</v>
      </c>
      <c r="V39" s="9">
        <f>SUMIF(累计考核费用!$B$107:$B$156,原格式费用考核表!$B39,累计考核费用!W$107:W$156)/10000</f>
        <v>0</v>
      </c>
      <c r="W39" s="9">
        <f>SUMIF(累计考核费用!$B$107:$B$156,原格式费用考核表!$B39,累计考核费用!AB$107:AB$156)/10000</f>
        <v>0</v>
      </c>
      <c r="X39" s="9" t="e">
        <f ca="1">SUMIF(累计考核费用!$B$107:$B$156,原格式费用考核表!$B39,累计考核费用!#REF!)/10000</f>
        <v>#REF!</v>
      </c>
      <c r="Y39" s="9" t="e">
        <f ca="1">SUMIF(累计考核费用!$B$107:$B$156,原格式费用考核表!$B39,累计考核费用!#REF!)/10000</f>
        <v>#REF!</v>
      </c>
      <c r="Z39" s="9" t="e">
        <f ca="1">SUMIF(累计考核费用!$B$107:$B$156,原格式费用考核表!$B39,累计考核费用!#REF!)/10000</f>
        <v>#REF!</v>
      </c>
      <c r="AA39" s="9">
        <f>SUMIF(累计考核费用!$B$107:$B$156,原格式费用考核表!$B39,累计考核费用!AC$107:AC$156)/10000</f>
        <v>0</v>
      </c>
      <c r="AB39" s="9" t="e">
        <f ca="1">SUMIF(累计考核费用!$B$107:$B$156,原格式费用考核表!$B39,累计考核费用!#REF!)/10000</f>
        <v>#REF!</v>
      </c>
    </row>
    <row r="40" s="2" customFormat="1" customHeight="1" spans="1:28">
      <c r="A40" s="19"/>
      <c r="B40" s="15" t="s">
        <v>294</v>
      </c>
      <c r="C40" s="15" t="s">
        <v>131</v>
      </c>
      <c r="D40" s="9">
        <f>累计考核费用!C137/10000</f>
        <v>12.611292</v>
      </c>
      <c r="E40" s="9">
        <f>累计考核费用!D137/10000</f>
        <v>0</v>
      </c>
      <c r="F40" s="9">
        <f>累计考核费用!E137/10000</f>
        <v>6.605572</v>
      </c>
      <c r="G40" s="9">
        <f>累计考核费用!F137/10000</f>
        <v>6.00572</v>
      </c>
      <c r="H40" s="9">
        <f>累计考核费用!G137/10000</f>
        <v>0</v>
      </c>
      <c r="I40" s="9">
        <f>累计考核费用!L137/10000</f>
        <v>0</v>
      </c>
      <c r="J40" s="9">
        <f>累计考核费用!M137/10000</f>
        <v>0</v>
      </c>
      <c r="K40" s="9">
        <f>累计考核费用!Q137/10000</f>
        <v>0</v>
      </c>
      <c r="L40" s="9">
        <f>累计考核费用!P137/10000</f>
        <v>0</v>
      </c>
      <c r="M40" s="9">
        <f>累计考核费用!O137/10000</f>
        <v>0</v>
      </c>
      <c r="N40" s="9">
        <f>累计考核费用!R137/10000</f>
        <v>0</v>
      </c>
      <c r="O40" s="9" t="e">
        <f>累计考核费用!#REF!/10000</f>
        <v>#REF!</v>
      </c>
      <c r="P40" s="9">
        <f>累计考核费用!S137/10000</f>
        <v>0.04</v>
      </c>
      <c r="Q40" s="9" t="e">
        <f>累计考核费用!#REF!/10000</f>
        <v>#REF!</v>
      </c>
      <c r="R40" s="9">
        <f>累计考核费用!T137/10000</f>
        <v>0</v>
      </c>
      <c r="S40" s="9">
        <f>累计考核费用!U137/10000</f>
        <v>0</v>
      </c>
      <c r="T40" s="9" t="e">
        <f>累计考核费用!#REF!/10000</f>
        <v>#REF!</v>
      </c>
      <c r="U40" s="9">
        <f>累计考核费用!V137/10000</f>
        <v>0</v>
      </c>
      <c r="V40" s="9">
        <f>累计考核费用!W137/10000</f>
        <v>0</v>
      </c>
      <c r="W40" s="9">
        <f>累计考核费用!AB137/10000</f>
        <v>0</v>
      </c>
      <c r="X40" s="9" t="e">
        <f>累计考核费用!#REF!/10000</f>
        <v>#REF!</v>
      </c>
      <c r="Y40" s="9" t="e">
        <f>累计考核费用!#REF!/10000</f>
        <v>#REF!</v>
      </c>
      <c r="Z40" s="9" t="e">
        <f>累计考核费用!#REF!/10000</f>
        <v>#REF!</v>
      </c>
      <c r="AA40" s="9">
        <f>累计考核费用!AC137/10000</f>
        <v>6.565572</v>
      </c>
      <c r="AB40" s="9" t="e">
        <f>累计考核费用!#REF!/10000</f>
        <v>#REF!</v>
      </c>
    </row>
    <row r="41" s="2" customFormat="1" customHeight="1" spans="1:28">
      <c r="A41" s="20"/>
      <c r="B41" s="15" t="s">
        <v>102</v>
      </c>
      <c r="C41" s="15" t="s">
        <v>132</v>
      </c>
      <c r="D41" s="21">
        <f>SUM(D17:D40)</f>
        <v>10396.61115</v>
      </c>
      <c r="E41" s="21">
        <f>SUM(E17:E40)</f>
        <v>87.138798</v>
      </c>
      <c r="F41" s="21">
        <f t="shared" ref="F41:AB41" si="4">SUM(F17:F40)</f>
        <v>2489.888161</v>
      </c>
      <c r="G41" s="21">
        <f t="shared" si="4"/>
        <v>4840.0792</v>
      </c>
      <c r="H41" s="21">
        <f t="shared" si="4"/>
        <v>248.854924</v>
      </c>
      <c r="I41" s="21">
        <f t="shared" si="4"/>
        <v>354.74849</v>
      </c>
      <c r="J41" s="21">
        <f t="shared" si="4"/>
        <v>54.088403</v>
      </c>
      <c r="K41" s="21">
        <f t="shared" si="4"/>
        <v>55.210246</v>
      </c>
      <c r="L41" s="21">
        <f t="shared" si="4"/>
        <v>67.409925</v>
      </c>
      <c r="M41" s="21">
        <f t="shared" si="4"/>
        <v>50.240588</v>
      </c>
      <c r="N41" s="21">
        <f t="shared" si="4"/>
        <v>56.412276</v>
      </c>
      <c r="O41" s="21" t="e">
        <f ca="1" t="shared" si="4"/>
        <v>#REF!</v>
      </c>
      <c r="P41" s="21">
        <f t="shared" si="4"/>
        <v>84.55369</v>
      </c>
      <c r="Q41" s="21" t="e">
        <f ca="1" t="shared" si="4"/>
        <v>#REF!</v>
      </c>
      <c r="R41" s="21">
        <f t="shared" si="4"/>
        <v>2378.610177</v>
      </c>
      <c r="S41" s="21">
        <f t="shared" si="4"/>
        <v>241.292625</v>
      </c>
      <c r="T41" s="21" t="e">
        <f ca="1" t="shared" si="4"/>
        <v>#REF!</v>
      </c>
      <c r="U41" s="21">
        <f t="shared" si="4"/>
        <v>1489.951228</v>
      </c>
      <c r="V41" s="21">
        <f t="shared" si="4"/>
        <v>395.226599</v>
      </c>
      <c r="W41" s="21">
        <f t="shared" si="4"/>
        <v>129.686383</v>
      </c>
      <c r="X41" s="21" t="e">
        <f ca="1" t="shared" si="4"/>
        <v>#REF!</v>
      </c>
      <c r="Y41" s="21" t="e">
        <f ca="1" t="shared" si="4"/>
        <v>#REF!</v>
      </c>
      <c r="Z41" s="21" t="e">
        <f ca="1" t="shared" si="4"/>
        <v>#REF!</v>
      </c>
      <c r="AA41" s="21">
        <f t="shared" si="4"/>
        <v>78.38216</v>
      </c>
      <c r="AB41" s="21" t="e">
        <f ca="1" t="shared" si="4"/>
        <v>#REF!</v>
      </c>
    </row>
    <row r="42" s="2" customFormat="1" customHeight="1" spans="1:28">
      <c r="A42" s="18" t="s">
        <v>123</v>
      </c>
      <c r="B42" s="15" t="s">
        <v>133</v>
      </c>
      <c r="C42" s="15" t="s">
        <v>133</v>
      </c>
      <c r="D42" s="9">
        <f>SUMIF(累计考核费用!$B$107:$B$156,原格式费用考核表!$B42,累计考核费用!C$107:C$156)/10000</f>
        <v>1532.565357</v>
      </c>
      <c r="E42" s="9">
        <f>SUMIF(累计考核费用!$B$107:$B$156,原格式费用考核表!$B42,累计考核费用!D$107:D$156)/10000</f>
        <v>0</v>
      </c>
      <c r="F42" s="9">
        <f>SUMIF(累计考核费用!$B$107:$B$156,原格式费用考核表!$B42,累计考核费用!E$107:E$156)/10000</f>
        <v>897.853326</v>
      </c>
      <c r="G42" s="9">
        <f>SUMIF(累计考核费用!$B$107:$B$156,原格式费用考核表!$B42,累计考核费用!F$107:F$156)/10000</f>
        <v>593.091148</v>
      </c>
      <c r="H42" s="9">
        <f>SUMIF(累计考核费用!$B$107:$B$156,原格式费用考核表!$B42,累计考核费用!G$107:G$156)/10000</f>
        <v>20.439122</v>
      </c>
      <c r="I42" s="9">
        <f>SUMIF(累计考核费用!$B$107:$B$156,原格式费用考核表!$B42,累计考核费用!L$107:L$156)/10000</f>
        <v>21.181761</v>
      </c>
      <c r="J42" s="9">
        <f>SUMIF(累计考核费用!$B$107:$B$156,原格式费用考核表!$B42,累计考核费用!M$107:M$156)/10000</f>
        <v>5.058834</v>
      </c>
      <c r="K42" s="9">
        <f>SUMIF(累计考核费用!$B$107:$B$156,原格式费用考核表!$B42,累计考核费用!Q$107:Q$156)/10000</f>
        <v>0</v>
      </c>
      <c r="L42" s="9">
        <f>SUMIF(累计考核费用!$B$107:$B$156,原格式费用考核表!$B42,累计考核费用!P$107:P$156)/10000</f>
        <v>3.954516</v>
      </c>
      <c r="M42" s="9">
        <f>SUMIF(累计考核费用!$B$107:$B$156,原格式费用考核表!$B42,累计考核费用!O$107:O$156)/10000</f>
        <v>0.614691</v>
      </c>
      <c r="N42" s="9">
        <f>SUMIF(累计考核费用!$B$107:$B$156,原格式费用考核表!$B42,累计考核费用!R$107:R$156)/10000</f>
        <v>9.61437</v>
      </c>
      <c r="O42" s="9" t="e">
        <f ca="1">SUMIF(累计考核费用!$B$107:$B$156,原格式费用考核表!$B42,累计考核费用!#REF!)/10000</f>
        <v>#REF!</v>
      </c>
      <c r="P42" s="9">
        <f>SUMIF(累计考核费用!$B$107:$B$156,原格式费用考核表!$B42,累计考核费用!S$107:S$156)/10000</f>
        <v>1.225226</v>
      </c>
      <c r="Q42" s="9" t="e">
        <f ca="1">SUMIF(累计考核费用!$B$107:$B$156,原格式费用考核表!$B42,累计考核费用!#REF!)/10000</f>
        <v>#REF!</v>
      </c>
      <c r="R42" s="9">
        <f>SUMIF(累计考核费用!$B$107:$B$156,原格式费用考核表!$B42,累计考核费用!T$107:T$156)/10000</f>
        <v>0</v>
      </c>
      <c r="S42" s="9">
        <f>SUMIF(累计考核费用!$B$107:$B$156,原格式费用考核表!$B42,累计考核费用!U$107:U$156)/10000</f>
        <v>0</v>
      </c>
      <c r="T42" s="9" t="e">
        <f ca="1">SUMIF(累计考核费用!$B$107:$B$156,原格式费用考核表!$B42,累计考核费用!#REF!)/10000</f>
        <v>#REF!</v>
      </c>
      <c r="U42" s="9">
        <f>SUMIF(累计考核费用!$B$107:$B$156,原格式费用考核表!$B42,累计考核费用!V$107:V$156)/10000</f>
        <v>0</v>
      </c>
      <c r="V42" s="9">
        <f>SUMIF(累计考核费用!$B$107:$B$156,原格式费用考核表!$B42,累计考核费用!W$107:W$156)/10000</f>
        <v>0</v>
      </c>
      <c r="W42" s="9">
        <f>SUMIF(累计考核费用!$B$107:$B$156,原格式费用考核表!$B42,累计考核费用!AB$107:AB$156)/10000</f>
        <v>0</v>
      </c>
      <c r="X42" s="9" t="e">
        <f ca="1">SUMIF(累计考核费用!$B$107:$B$156,原格式费用考核表!$B42,累计考核费用!#REF!)/10000</f>
        <v>#REF!</v>
      </c>
      <c r="Y42" s="9" t="e">
        <f ca="1">SUMIF(累计考核费用!$B$107:$B$156,原格式费用考核表!$B42,累计考核费用!#REF!)/10000</f>
        <v>#REF!</v>
      </c>
      <c r="Z42" s="9" t="e">
        <f ca="1">SUMIF(累计考核费用!$B$107:$B$156,原格式费用考核表!$B42,累计考核费用!#REF!)/10000</f>
        <v>#REF!</v>
      </c>
      <c r="AA42" s="9">
        <f>SUMIF(累计考核费用!$B$107:$B$156,原格式费用考核表!$B42,累计考核费用!AC$107:AC$156)/10000</f>
        <v>0</v>
      </c>
      <c r="AB42" s="9" t="e">
        <f ca="1">SUMIF(累计考核费用!$B$107:$B$156,原格式费用考核表!$B42,累计考核费用!#REF!)/10000</f>
        <v>#REF!</v>
      </c>
    </row>
    <row r="43" s="2" customFormat="1" customHeight="1" spans="1:28">
      <c r="A43" s="19"/>
      <c r="B43" s="15" t="s">
        <v>134</v>
      </c>
      <c r="C43" s="15" t="s">
        <v>134</v>
      </c>
      <c r="D43" s="9">
        <f>SUMIF(累计考核费用!$B$107:$B$156,原格式费用考核表!$B43,累计考核费用!C$107:C$156)/10000</f>
        <v>551.418782</v>
      </c>
      <c r="E43" s="9">
        <f>SUMIF(累计考核费用!$B$107:$B$156,原格式费用考核表!$B43,累计考核费用!D$107:D$156)/10000</f>
        <v>0</v>
      </c>
      <c r="F43" s="9">
        <f>SUMIF(累计考核费用!$B$107:$B$156,原格式费用考核表!$B43,累计考核费用!E$107:E$156)/10000</f>
        <v>109.648194</v>
      </c>
      <c r="G43" s="9">
        <f>SUMIF(累计考核费用!$B$107:$B$156,原格式费用考核表!$B43,累计考核费用!F$107:F$156)/10000</f>
        <v>367.080985</v>
      </c>
      <c r="H43" s="9">
        <f>SUMIF(累计考核费用!$B$107:$B$156,原格式费用考核表!$B43,累计考核费用!G$107:G$156)/10000</f>
        <v>38.73987</v>
      </c>
      <c r="I43" s="9">
        <f>SUMIF(累计考核费用!$B$107:$B$156,原格式费用考核表!$B43,累计考核费用!L$107:L$156)/10000</f>
        <v>35.544714</v>
      </c>
      <c r="J43" s="9">
        <f>SUMIF(累计考核费用!$B$107:$B$156,原格式费用考核表!$B43,累计考核费用!M$107:M$156)/10000</f>
        <v>7.811844</v>
      </c>
      <c r="K43" s="9">
        <f>SUMIF(累计考核费用!$B$107:$B$156,原格式费用考核表!$B43,累计考核费用!Q$107:Q$156)/10000</f>
        <v>5.541738</v>
      </c>
      <c r="L43" s="9">
        <f>SUMIF(累计考核费用!$B$107:$B$156,原格式费用考核表!$B43,累计考核费用!P$107:P$156)/10000</f>
        <v>3.605087</v>
      </c>
      <c r="M43" s="9">
        <f>SUMIF(累计考核费用!$B$107:$B$156,原格式费用考核表!$B43,累计考核费用!O$107:O$156)/10000</f>
        <v>6.537409</v>
      </c>
      <c r="N43" s="9">
        <f>SUMIF(累计考核费用!$B$107:$B$156,原格式费用考核表!$B43,累计考核费用!R$107:R$156)/10000</f>
        <v>4.236792</v>
      </c>
      <c r="O43" s="9" t="e">
        <f ca="1">SUMIF(累计考核费用!$B$107:$B$156,原格式费用考核表!$B43,累计考核费用!#REF!)/10000</f>
        <v>#REF!</v>
      </c>
      <c r="P43" s="9">
        <f>SUMIF(累计考核费用!$B$107:$B$156,原格式费用考核表!$B43,累计考核费用!S$107:S$156)/10000</f>
        <v>0.156</v>
      </c>
      <c r="Q43" s="9" t="e">
        <f ca="1">SUMIF(累计考核费用!$B$107:$B$156,原格式费用考核表!$B43,累计考核费用!#REF!)/10000</f>
        <v>#REF!</v>
      </c>
      <c r="R43" s="9">
        <f>SUMIF(累计考核费用!$B$107:$B$156,原格式费用考核表!$B43,累计考核费用!T$107:T$156)/10000</f>
        <v>0.405019</v>
      </c>
      <c r="S43" s="9">
        <f>SUMIF(累计考核费用!$B$107:$B$156,原格式费用考核表!$B43,累计考核费用!U$107:U$156)/10000</f>
        <v>0.245283</v>
      </c>
      <c r="T43" s="9" t="e">
        <f ca="1">SUMIF(累计考核费用!$B$107:$B$156,原格式费用考核表!$B43,累计考核费用!#REF!)/10000</f>
        <v>#REF!</v>
      </c>
      <c r="U43" s="9">
        <f>SUMIF(累计考核费用!$B$107:$B$156,原格式费用考核表!$B43,累计考核费用!V$107:V$156)/10000</f>
        <v>0.122</v>
      </c>
      <c r="V43" s="9">
        <f>SUMIF(累计考核费用!$B$107:$B$156,原格式费用考核表!$B43,累计考核费用!W$107:W$156)/10000</f>
        <v>0</v>
      </c>
      <c r="W43" s="9">
        <f>SUMIF(累计考核费用!$B$107:$B$156,原格式费用考核表!$B43,累计考核费用!AB$107:AB$156)/10000</f>
        <v>0.54717</v>
      </c>
      <c r="X43" s="9" t="e">
        <f ca="1">SUMIF(累计考核费用!$B$107:$B$156,原格式费用考核表!$B43,累计考核费用!#REF!)/10000</f>
        <v>#REF!</v>
      </c>
      <c r="Y43" s="9" t="e">
        <f ca="1">SUMIF(累计考核费用!$B$107:$B$156,原格式费用考核表!$B43,累计考核费用!#REF!)/10000</f>
        <v>#REF!</v>
      </c>
      <c r="Z43" s="9" t="e">
        <f ca="1">SUMIF(累计考核费用!$B$107:$B$156,原格式费用考核表!$B43,累计考核费用!#REF!)/10000</f>
        <v>#REF!</v>
      </c>
      <c r="AA43" s="9">
        <f>SUMIF(累计考核费用!$B$107:$B$156,原格式费用考核表!$B43,累计考核费用!AC$107:AC$156)/10000</f>
        <v>0.226416</v>
      </c>
      <c r="AB43" s="9" t="e">
        <f ca="1">SUMIF(累计考核费用!$B$107:$B$156,原格式费用考核表!$B43,累计考核费用!#REF!)/10000</f>
        <v>#REF!</v>
      </c>
    </row>
    <row r="44" s="2" customFormat="1" customHeight="1" spans="1:28">
      <c r="A44" s="19"/>
      <c r="B44" s="15" t="s">
        <v>135</v>
      </c>
      <c r="C44" s="15" t="s">
        <v>135</v>
      </c>
      <c r="D44" s="9">
        <f>SUMIF(累计考核费用!$B$107:$B$156,原格式费用考核表!$B44,累计考核费用!C$107:C$156)/10000+累计考核费用!C154/10000</f>
        <v>3979.854718</v>
      </c>
      <c r="E44" s="9">
        <f>SUMIF(累计考核费用!$B$107:$B$156,原格式费用考核表!$B44,累计考核费用!D$107:D$156)/10000+累计考核费用!D154/10000</f>
        <v>27.45032</v>
      </c>
      <c r="F44" s="9">
        <f>SUMIF(累计考核费用!$B$107:$B$156,原格式费用考核表!$B44,累计考核费用!E$107:E$156)/10000+累计考核费用!E154/10000</f>
        <v>840.204935</v>
      </c>
      <c r="G44" s="9">
        <f>SUMIF(累计考核费用!$B$107:$B$156,原格式费用考核表!$B44,累计考核费用!F$107:F$156)/10000+累计考核费用!F154/10000</f>
        <v>2817.480281</v>
      </c>
      <c r="H44" s="9">
        <f>SUMIF(累计考核费用!$B$107:$B$156,原格式费用考核表!$B44,累计考核费用!G$107:G$156)/10000+累计考核费用!G154/10000</f>
        <v>51.696806</v>
      </c>
      <c r="I44" s="9">
        <f>SUMIF(累计考核费用!$B$107:$B$156,原格式费用考核表!$B44,累计考核费用!L$107:L$156)/10000+累计考核费用!L154/10000</f>
        <v>184.860137</v>
      </c>
      <c r="J44" s="9">
        <f>SUMIF(累计考核费用!$B$107:$B$156,原格式费用考核表!$B44,累计考核费用!M$107:M$156)/10000+累计考核费用!M154/10000</f>
        <v>25.720074</v>
      </c>
      <c r="K44" s="9">
        <f>SUMIF(累计考核费用!$B$107:$B$156,原格式费用考核表!$B44,累计考核费用!Q$107:Q$156)/10000+累计考核费用!Q154/10000</f>
        <v>26.439107</v>
      </c>
      <c r="L44" s="9">
        <f>SUMIF(累计考核费用!$B$107:$B$156,原格式费用考核表!$B44,累计考核费用!P$107:P$156)/10000+累计考核费用!P154/10000</f>
        <v>31.91784</v>
      </c>
      <c r="M44" s="9">
        <f>SUMIF(累计考核费用!$B$107:$B$156,原格式费用考核表!$B44,累计考核费用!O$107:O$156)/10000+累计考核费用!O154/10000</f>
        <v>25.694774</v>
      </c>
      <c r="N44" s="9">
        <f>SUMIF(累计考核费用!$B$107:$B$156,原格式费用考核表!$B44,累计考核费用!R$107:R$156)/10000+累计考核费用!R154/10000</f>
        <v>49.296481</v>
      </c>
      <c r="O44" s="9" t="e">
        <f ca="1">SUMIF(累计考核费用!$B$107:$B$156,原格式费用考核表!$B44,累计考核费用!#REF!)/10000+累计考核费用!#REF!/10000</f>
        <v>#REF!</v>
      </c>
      <c r="P44" s="9">
        <f>SUMIF(累计考核费用!$B$107:$B$156,原格式费用考核表!$B44,累计考核费用!S$107:S$156)/10000+累计考核费用!S154/10000</f>
        <v>518.50519</v>
      </c>
      <c r="Q44" s="9" t="e">
        <f ca="1">SUMIF(累计考核费用!$B$107:$B$156,原格式费用考核表!$B44,累计考核费用!#REF!)/10000+累计考核费用!#REF!/10000</f>
        <v>#REF!</v>
      </c>
      <c r="R44" s="9">
        <f>SUMIF(累计考核费用!$B$107:$B$156,原格式费用考核表!$B44,累计考核费用!T$107:T$156)/10000+累计考核费用!T154/10000</f>
        <v>58.162239</v>
      </c>
      <c r="S44" s="9">
        <f>SUMIF(累计考核费用!$B$107:$B$156,原格式费用考核表!$B44,累计考核费用!U$107:U$156)/10000+累计考核费用!U154/10000</f>
        <v>0</v>
      </c>
      <c r="T44" s="9" t="e">
        <f ca="1">SUMIF(累计考核费用!$B$107:$B$156,原格式费用考核表!$B44,累计考核费用!#REF!)/10000+累计考核费用!#REF!/10000</f>
        <v>#REF!</v>
      </c>
      <c r="U44" s="9">
        <f>SUMIF(累计考核费用!$B$107:$B$156,原格式费用考核表!$B44,累计考核费用!V$107:V$156)/10000+累计考核费用!V154/10000</f>
        <v>35.983122</v>
      </c>
      <c r="V44" s="9">
        <f>SUMIF(累计考核费用!$B$107:$B$156,原格式费用考核表!$B44,累计考核费用!W$107:W$156)/10000+累计考核费用!W154/10000</f>
        <v>22.170717</v>
      </c>
      <c r="W44" s="9">
        <f>SUMIF(累计考核费用!$B$107:$B$156,原格式费用考核表!$B44,累计考核费用!AB$107:AB$156)/10000+累计考核费用!AB154/10000</f>
        <v>11.302713</v>
      </c>
      <c r="X44" s="9" t="e">
        <f ca="1">SUMIF(累计考核费用!$B$107:$B$156,原格式费用考核表!$B44,累计考核费用!#REF!)/10000+累计考核费用!#REF!/10000</f>
        <v>#REF!</v>
      </c>
      <c r="Y44" s="9" t="e">
        <f ca="1">SUMIF(累计考核费用!$B$107:$B$156,原格式费用考核表!$B44,累计考核费用!#REF!)/10000+累计考核费用!#REF!/10000</f>
        <v>#REF!</v>
      </c>
      <c r="Z44" s="9" t="e">
        <f ca="1">SUMIF(累计考核费用!$B$107:$B$156,原格式费用考核表!$B44,累计考核费用!#REF!)/10000+累计考核费用!#REF!/10000</f>
        <v>#REF!</v>
      </c>
      <c r="AA44" s="9">
        <f>SUMIF(累计考核费用!$B$107:$B$156,原格式费用考核表!$B44,累计考核费用!AC$107:AC$156)/10000+累计考核费用!AC154/10000</f>
        <v>16.8056</v>
      </c>
      <c r="AB44" s="9" t="e">
        <f ca="1">SUMIF(累计考核费用!$B$107:$B$156,原格式费用考核表!$B44,累计考核费用!#REF!)/10000+累计考核费用!#REF!/10000</f>
        <v>#REF!</v>
      </c>
    </row>
    <row r="45" s="2" customFormat="1" customHeight="1" spans="1:28">
      <c r="A45" s="19"/>
      <c r="B45" s="15" t="s">
        <v>136</v>
      </c>
      <c r="C45" s="15" t="s">
        <v>136</v>
      </c>
      <c r="D45" s="9">
        <f>SUMIF(累计考核费用!$B$107:$B$156,原格式费用考核表!$B45,累计考核费用!C$107:C$156)/10000</f>
        <v>1784.562341</v>
      </c>
      <c r="E45" s="9">
        <f>SUMIF(累计考核费用!$B$107:$B$156,原格式费用考核表!$B45,累计考核费用!D$107:D$156)/10000</f>
        <v>-983.259448</v>
      </c>
      <c r="F45" s="9">
        <f>SUMIF(累计考核费用!$B$107:$B$156,原格式费用考核表!$B45,累计考核费用!E$107:E$156)/10000</f>
        <v>1395.56545</v>
      </c>
      <c r="G45" s="9">
        <f>SUMIF(累计考核费用!$B$107:$B$156,原格式费用考核表!$B45,累计考核费用!F$107:F$156)/10000</f>
        <v>1358.387978</v>
      </c>
      <c r="H45" s="9">
        <f>SUMIF(累计考核费用!$B$107:$B$156,原格式费用考核表!$B45,累计考核费用!G$107:G$156)/10000</f>
        <v>0.671129</v>
      </c>
      <c r="I45" s="9">
        <f>SUMIF(累计考核费用!$B$107:$B$156,原格式费用考核表!$B45,累计考核费用!L$107:L$156)/10000</f>
        <v>13.197232</v>
      </c>
      <c r="J45" s="9">
        <f>SUMIF(累计考核费用!$B$107:$B$156,原格式费用考核表!$B45,累计考核费用!M$107:M$156)/10000</f>
        <v>2.682608</v>
      </c>
      <c r="K45" s="9">
        <f>SUMIF(累计考核费用!$B$107:$B$156,原格式费用考核表!$B45,累计考核费用!Q$107:Q$156)/10000</f>
        <v>0.45557</v>
      </c>
      <c r="L45" s="9">
        <f>SUMIF(累计考核费用!$B$107:$B$156,原格式费用考核表!$B45,累计考核费用!P$107:P$156)/10000</f>
        <v>3.264797</v>
      </c>
      <c r="M45" s="9">
        <f>SUMIF(累计考核费用!$B$107:$B$156,原格式费用考核表!$B45,累计考核费用!O$107:O$156)/10000</f>
        <v>2.679081</v>
      </c>
      <c r="N45" s="9">
        <f>SUMIF(累计考核费用!$B$107:$B$156,原格式费用考核表!$B45,累计考核费用!R$107:R$156)/10000</f>
        <v>1.420296</v>
      </c>
      <c r="O45" s="9" t="e">
        <f ca="1">SUMIF(累计考核费用!$B$107:$B$156,原格式费用考核表!$B45,累计考核费用!#REF!)/10000</f>
        <v>#REF!</v>
      </c>
      <c r="P45" s="9">
        <f>SUMIF(累计考核费用!$B$107:$B$156,原格式费用考核表!$B45,累计考核费用!S$107:S$156)/10000</f>
        <v>51.466867</v>
      </c>
      <c r="Q45" s="9" t="e">
        <f ca="1">SUMIF(累计考核费用!$B$107:$B$156,原格式费用考核表!$B45,累计考核费用!#REF!)/10000</f>
        <v>#REF!</v>
      </c>
      <c r="R45" s="9">
        <f>SUMIF(累计考核费用!$B$107:$B$156,原格式费用考核表!$B45,累计考核费用!T$107:T$156)/10000</f>
        <v>0</v>
      </c>
      <c r="S45" s="9">
        <f>SUMIF(累计考核费用!$B$107:$B$156,原格式费用考核表!$B45,累计考核费用!U$107:U$156)/10000</f>
        <v>0</v>
      </c>
      <c r="T45" s="9" t="e">
        <f ca="1">SUMIF(累计考核费用!$B$107:$B$156,原格式费用考核表!$B45,累计考核费用!#REF!)/10000</f>
        <v>#REF!</v>
      </c>
      <c r="U45" s="9">
        <f>SUMIF(累计考核费用!$B$107:$B$156,原格式费用考核表!$B45,累计考核费用!V$107:V$156)/10000</f>
        <v>0</v>
      </c>
      <c r="V45" s="9">
        <f>SUMIF(累计考核费用!$B$107:$B$156,原格式费用考核表!$B45,累计考核费用!W$107:W$156)/10000</f>
        <v>0</v>
      </c>
      <c r="W45" s="9">
        <f>SUMIF(累计考核费用!$B$107:$B$156,原格式费用考核表!$B45,累计考核费用!AB$107:AB$156)/10000</f>
        <v>0</v>
      </c>
      <c r="X45" s="9" t="e">
        <f ca="1">SUMIF(累计考核费用!$B$107:$B$156,原格式费用考核表!$B45,累计考核费用!#REF!)/10000</f>
        <v>#REF!</v>
      </c>
      <c r="Y45" s="9" t="e">
        <f ca="1">SUMIF(累计考核费用!$B$107:$B$156,原格式费用考核表!$B45,累计考核费用!#REF!)/10000</f>
        <v>#REF!</v>
      </c>
      <c r="Z45" s="9" t="e">
        <f ca="1">SUMIF(累计考核费用!$B$107:$B$156,原格式费用考核表!$B45,累计考核费用!#REF!)/10000</f>
        <v>#REF!</v>
      </c>
      <c r="AA45" s="9">
        <f>SUMIF(累计考核费用!$B$107:$B$156,原格式费用考核表!$B45,累计考核费用!AC$107:AC$156)/10000</f>
        <v>0</v>
      </c>
      <c r="AB45" s="9" t="e">
        <f ca="1">SUMIF(累计考核费用!$B$107:$B$156,原格式费用考核表!$B45,累计考核费用!#REF!)/10000</f>
        <v>#REF!</v>
      </c>
    </row>
    <row r="46" s="2" customFormat="1" customHeight="1" spans="1:28">
      <c r="A46" s="19"/>
      <c r="B46" s="15" t="s">
        <v>137</v>
      </c>
      <c r="C46" s="15" t="s">
        <v>137</v>
      </c>
      <c r="D46" s="9">
        <f>SUMIF(累计考核费用!$B$107:$B$156,原格式费用考核表!$B46,累计考核费用!C$107:C$156)/10000</f>
        <v>871.253619</v>
      </c>
      <c r="E46" s="9">
        <f>SUMIF(累计考核费用!$B$107:$B$156,原格式费用考核表!$B46,累计考核费用!D$107:D$156)/10000</f>
        <v>0</v>
      </c>
      <c r="F46" s="9">
        <f>SUMIF(累计考核费用!$B$107:$B$156,原格式费用考核表!$B46,累计考核费用!E$107:E$156)/10000</f>
        <v>359.221638328138</v>
      </c>
      <c r="G46" s="9">
        <f>SUMIF(累计考核费用!$B$107:$B$156,原格式费用考核表!$B46,累计考核费用!F$107:F$156)/10000</f>
        <v>63.258924</v>
      </c>
      <c r="H46" s="9">
        <f>SUMIF(累计考核费用!$B$107:$B$156,原格式费用考核表!$B46,累计考核费用!G$107:G$156)/10000</f>
        <v>118.6635</v>
      </c>
      <c r="I46" s="9">
        <f>SUMIF(累计考核费用!$B$107:$B$156,原格式费用考核表!$B46,累计考核费用!L$107:L$156)/10000</f>
        <v>122.338291671756</v>
      </c>
      <c r="J46" s="9">
        <f>SUMIF(累计考核费用!$B$107:$B$156,原格式费用考核表!$B46,累计考核费用!M$107:M$156)/10000</f>
        <v>46.2606142871573</v>
      </c>
      <c r="K46" s="9">
        <f>SUMIF(累计考核费用!$B$107:$B$156,原格式费用考核表!$B46,累计考核费用!Q$107:Q$156)/10000</f>
        <v>0</v>
      </c>
      <c r="L46" s="9">
        <f>SUMIF(累计考核费用!$B$107:$B$156,原格式费用考核表!$B46,累计考核费用!P$107:P$156)/10000</f>
        <v>0</v>
      </c>
      <c r="M46" s="9">
        <f>SUMIF(累计考核费用!$B$107:$B$156,原格式费用考核表!$B46,累计考核费用!O$107:O$156)/10000</f>
        <v>36.7013638658009</v>
      </c>
      <c r="N46" s="9">
        <f>SUMIF(累计考核费用!$B$107:$B$156,原格式费用考核表!$B46,累计考核费用!R$107:R$156)/10000</f>
        <v>0</v>
      </c>
      <c r="O46" s="9" t="e">
        <f ca="1">SUMIF(累计考核费用!$B$107:$B$156,原格式费用考核表!$B46,累计考核费用!#REF!)/10000</f>
        <v>#REF!</v>
      </c>
      <c r="P46" s="9">
        <f>SUMIF(累计考核费用!$B$107:$B$156,原格式费用考核表!$B46,累计考核费用!S$107:S$156)/10000</f>
        <v>0</v>
      </c>
      <c r="Q46" s="9" t="e">
        <f ca="1">SUMIF(累计考核费用!$B$107:$B$156,原格式费用考核表!$B46,累计考核费用!#REF!)/10000</f>
        <v>#REF!</v>
      </c>
      <c r="R46" s="9">
        <f>SUMIF(累计考核费用!$B$107:$B$156,原格式费用考核表!$B46,累计考核费用!T$107:T$156)/10000</f>
        <v>207.771265000106</v>
      </c>
      <c r="S46" s="9">
        <f>SUMIF(累计考核费用!$B$107:$B$156,原格式费用考核表!$B46,累计考核费用!U$107:U$156)/10000</f>
        <v>49.5382995587211</v>
      </c>
      <c r="T46" s="9" t="e">
        <f ca="1">SUMIF(累计考核费用!$B$107:$B$156,原格式费用考核表!$B46,累计考核费用!#REF!)/10000</f>
        <v>#REF!</v>
      </c>
      <c r="U46" s="9">
        <f>SUMIF(累计考核费用!$B$107:$B$156,原格式费用考核表!$B46,累计考核费用!V$107:V$156)/10000</f>
        <v>58.8261377362426</v>
      </c>
      <c r="V46" s="9">
        <f>SUMIF(累计考核费用!$B$107:$B$156,原格式费用考核表!$B46,累计考核费用!W$107:W$156)/10000</f>
        <v>36.1734568944537</v>
      </c>
      <c r="W46" s="9">
        <f>SUMIF(累计考核费用!$B$107:$B$156,原格式费用考核表!$B46,累计考核费用!AB$107:AB$156)/10000</f>
        <v>0</v>
      </c>
      <c r="X46" s="9" t="e">
        <f ca="1">SUMIF(累计考核费用!$B$107:$B$156,原格式费用考核表!$B46,累计考核费用!#REF!)/10000</f>
        <v>#REF!</v>
      </c>
      <c r="Y46" s="9" t="e">
        <f ca="1">SUMIF(累计考核费用!$B$107:$B$156,原格式费用考核表!$B46,累计考核费用!#REF!)/10000</f>
        <v>#REF!</v>
      </c>
      <c r="Z46" s="9" t="e">
        <f ca="1">SUMIF(累计考核费用!$B$107:$B$156,原格式费用考核表!$B46,累计考核费用!#REF!)/10000</f>
        <v>#REF!</v>
      </c>
      <c r="AA46" s="9">
        <f>SUMIF(累计考核费用!$B$107:$B$156,原格式费用考核表!$B46,累计考核费用!AC$107:AC$156)/10000</f>
        <v>0.377364</v>
      </c>
      <c r="AB46" s="9" t="e">
        <f ca="1">SUMIF(累计考核费用!$B$107:$B$156,原格式费用考核表!$B46,累计考核费用!#REF!)/10000</f>
        <v>#REF!</v>
      </c>
    </row>
    <row r="47" s="2" customFormat="1" customHeight="1" spans="1:28">
      <c r="A47" s="19"/>
      <c r="B47" s="15" t="s">
        <v>138</v>
      </c>
      <c r="C47" s="15" t="s">
        <v>138</v>
      </c>
      <c r="D47" s="9">
        <f>SUMIF(累计考核费用!$B$107:$B$156,原格式费用考核表!$B47,累计考核费用!C$107:C$156)/10000</f>
        <v>865.596452</v>
      </c>
      <c r="E47" s="9">
        <f>SUMIF(累计考核费用!$B$107:$B$156,原格式费用考核表!$B47,累计考核费用!D$107:D$156)/10000</f>
        <v>-61.3649</v>
      </c>
      <c r="F47" s="9">
        <f>SUMIF(累计考核费用!$B$107:$B$156,原格式费用考核表!$B47,累计考核费用!E$107:E$156)/10000</f>
        <v>102.07717280963</v>
      </c>
      <c r="G47" s="9">
        <f>SUMIF(累计考核费用!$B$107:$B$156,原格式费用考核表!$B47,累计考核费用!F$107:F$156)/10000</f>
        <v>670.156932</v>
      </c>
      <c r="H47" s="9">
        <f>SUMIF(累计考核费用!$B$107:$B$156,原格式费用考核表!$B47,累计考核费用!G$107:G$156)/10000</f>
        <v>11.783185</v>
      </c>
      <c r="I47" s="9">
        <f>SUMIF(累计考核费用!$B$107:$B$156,原格式费用考核表!$B47,累计考核费用!L$107:L$156)/10000</f>
        <v>141.06222219037</v>
      </c>
      <c r="J47" s="9">
        <f>SUMIF(累计考核费用!$B$107:$B$156,原格式费用考核表!$B47,累计考核费用!M$107:M$156)/10000</f>
        <v>3.030486</v>
      </c>
      <c r="K47" s="9">
        <f>SUMIF(累计考核费用!$B$107:$B$156,原格式费用考核表!$B47,累计考核费用!Q$107:Q$156)/10000</f>
        <v>40.8219319729121</v>
      </c>
      <c r="L47" s="9">
        <f>SUMIF(累计考核费用!$B$107:$B$156,原格式费用考核表!$B47,累计考核费用!P$107:P$156)/10000</f>
        <v>50.2538472886103</v>
      </c>
      <c r="M47" s="9">
        <f>SUMIF(累计考核费用!$B$107:$B$156,原格式费用考核表!$B47,累计考核费用!O$107:O$156)/10000</f>
        <v>3.041609</v>
      </c>
      <c r="N47" s="9">
        <f>SUMIF(累计考核费用!$B$107:$B$156,原格式费用考核表!$B47,累计考核费用!R$107:R$156)/10000</f>
        <v>40.9723969288478</v>
      </c>
      <c r="O47" s="9" t="e">
        <f ca="1">SUMIF(累计考核费用!$B$107:$B$156,原格式费用考核表!$B47,累计考核费用!#REF!)/10000</f>
        <v>#REF!</v>
      </c>
      <c r="P47" s="9">
        <f>SUMIF(累计考核费用!$B$107:$B$156,原格式费用考核表!$B47,累计考核费用!S$107:S$156)/10000</f>
        <v>3.482061</v>
      </c>
      <c r="Q47" s="9" t="e">
        <f ca="1">SUMIF(累计考核费用!$B$107:$B$156,原格式费用考核表!$B47,累计考核费用!#REF!)/10000</f>
        <v>#REF!</v>
      </c>
      <c r="R47" s="9">
        <f>SUMIF(累计考核费用!$B$107:$B$156,原格式费用考核表!$B47,累计考核费用!T$107:T$156)/10000</f>
        <v>1.88184</v>
      </c>
      <c r="S47" s="9">
        <f>SUMIF(累计考核费用!$B$107:$B$156,原格式费用考核表!$B47,累计考核费用!U$107:U$156)/10000</f>
        <v>0</v>
      </c>
      <c r="T47" s="9" t="e">
        <f ca="1">SUMIF(累计考核费用!$B$107:$B$156,原格式费用考核表!$B47,累计考核费用!#REF!)/10000</f>
        <v>#REF!</v>
      </c>
      <c r="U47" s="9">
        <f>SUMIF(累计考核费用!$B$107:$B$156,原格式费用考核表!$B47,累计考核费用!V$107:V$156)/10000</f>
        <v>0.188004</v>
      </c>
      <c r="V47" s="9">
        <f>SUMIF(累计考核费用!$B$107:$B$156,原格式费用考核表!$B47,累计考核费用!W$107:W$156)/10000</f>
        <v>1.693836</v>
      </c>
      <c r="W47" s="9">
        <f>SUMIF(累计考核费用!$B$107:$B$156,原格式费用考核表!$B47,累计考核费用!AB$107:AB$156)/10000</f>
        <v>0</v>
      </c>
      <c r="X47" s="9" t="e">
        <f ca="1">SUMIF(累计考核费用!$B$107:$B$156,原格式费用考核表!$B47,累计考核费用!#REF!)/10000</f>
        <v>#REF!</v>
      </c>
      <c r="Y47" s="9" t="e">
        <f ca="1">SUMIF(累计考核费用!$B$107:$B$156,原格式费用考核表!$B47,累计考核费用!#REF!)/10000</f>
        <v>#REF!</v>
      </c>
      <c r="Z47" s="9" t="e">
        <f ca="1">SUMIF(累计考核费用!$B$107:$B$156,原格式费用考核表!$B47,累计考核费用!#REF!)/10000</f>
        <v>#REF!</v>
      </c>
      <c r="AA47" s="9">
        <f>SUMIF(累计考核费用!$B$107:$B$156,原格式费用考核表!$B47,累计考核费用!AC$107:AC$156)/10000</f>
        <v>0</v>
      </c>
      <c r="AB47" s="9" t="e">
        <f ca="1">SUMIF(累计考核费用!$B$107:$B$156,原格式费用考核表!$B47,累计考核费用!#REF!)/10000</f>
        <v>#REF!</v>
      </c>
    </row>
    <row r="48" s="2" customFormat="1" customHeight="1" spans="1:28">
      <c r="A48" s="19"/>
      <c r="B48" s="15" t="s">
        <v>295</v>
      </c>
      <c r="C48" s="15" t="s">
        <v>139</v>
      </c>
      <c r="D48" s="9">
        <f>SUMIF(累计考核费用!$B$107:$B$156,原格式费用考核表!$B48,累计考核费用!C$107:C$156)/10000</f>
        <v>0</v>
      </c>
      <c r="E48" s="9">
        <f>SUMIF(累计考核费用!$B$107:$B$156,原格式费用考核表!$B48,累计考核费用!D$107:D$156)/10000</f>
        <v>0</v>
      </c>
      <c r="F48" s="9">
        <f>SUMIF(累计考核费用!$B$107:$B$156,原格式费用考核表!$B48,累计考核费用!E$107:E$156)/10000</f>
        <v>0</v>
      </c>
      <c r="G48" s="9">
        <f>SUMIF(累计考核费用!$B$107:$B$156,原格式费用考核表!$B48,累计考核费用!F$107:F$156)/10000</f>
        <v>0</v>
      </c>
      <c r="H48" s="9">
        <f>SUMIF(累计考核费用!$B$107:$B$156,原格式费用考核表!$B48,累计考核费用!G$107:G$156)/10000</f>
        <v>0</v>
      </c>
      <c r="I48" s="9">
        <f>SUMIF(累计考核费用!$B$107:$B$156,原格式费用考核表!$B48,累计考核费用!L$107:L$156)/10000</f>
        <v>0</v>
      </c>
      <c r="J48" s="9">
        <f>SUMIF(累计考核费用!$B$107:$B$156,原格式费用考核表!$B48,累计考核费用!M$107:M$156)/10000</f>
        <v>0</v>
      </c>
      <c r="K48" s="9">
        <f>SUMIF(累计考核费用!$B$107:$B$156,原格式费用考核表!$B48,累计考核费用!Q$107:Q$156)/10000</f>
        <v>0</v>
      </c>
      <c r="L48" s="9">
        <f>SUMIF(累计考核费用!$B$107:$B$156,原格式费用考核表!$B48,累计考核费用!P$107:P$156)/10000</f>
        <v>0</v>
      </c>
      <c r="M48" s="9">
        <f>SUMIF(累计考核费用!$B$107:$B$156,原格式费用考核表!$B48,累计考核费用!O$107:O$156)/10000</f>
        <v>0</v>
      </c>
      <c r="N48" s="9">
        <f>SUMIF(累计考核费用!$B$107:$B$156,原格式费用考核表!$B48,累计考核费用!R$107:R$156)/10000</f>
        <v>0</v>
      </c>
      <c r="O48" s="9" t="e">
        <f ca="1">SUMIF(累计考核费用!$B$107:$B$156,原格式费用考核表!$B48,累计考核费用!#REF!)/10000</f>
        <v>#REF!</v>
      </c>
      <c r="P48" s="9">
        <f>SUMIF(累计考核费用!$B$107:$B$156,原格式费用考核表!$B48,累计考核费用!S$107:S$156)/10000</f>
        <v>0</v>
      </c>
      <c r="Q48" s="9" t="e">
        <f ca="1">SUMIF(累计考核费用!$B$107:$B$156,原格式费用考核表!$B48,累计考核费用!#REF!)/10000</f>
        <v>#REF!</v>
      </c>
      <c r="R48" s="9">
        <f>SUMIF(累计考核费用!$B$107:$B$156,原格式费用考核表!$B48,累计考核费用!T$107:T$156)/10000</f>
        <v>0</v>
      </c>
      <c r="S48" s="9">
        <f>SUMIF(累计考核费用!$B$107:$B$156,原格式费用考核表!$B48,累计考核费用!U$107:U$156)/10000</f>
        <v>0</v>
      </c>
      <c r="T48" s="9" t="e">
        <f ca="1">SUMIF(累计考核费用!$B$107:$B$156,原格式费用考核表!$B48,累计考核费用!#REF!)/10000</f>
        <v>#REF!</v>
      </c>
      <c r="U48" s="9">
        <f>SUMIF(累计考核费用!$B$107:$B$156,原格式费用考核表!$B48,累计考核费用!V$107:V$156)/10000</f>
        <v>0</v>
      </c>
      <c r="V48" s="9">
        <f>SUMIF(累计考核费用!$B$107:$B$156,原格式费用考核表!$B48,累计考核费用!W$107:W$156)/10000</f>
        <v>0</v>
      </c>
      <c r="W48" s="9">
        <f>SUMIF(累计考核费用!$B$107:$B$156,原格式费用考核表!$B48,累计考核费用!AB$107:AB$156)/10000</f>
        <v>0</v>
      </c>
      <c r="X48" s="9" t="e">
        <f ca="1">SUMIF(累计考核费用!$B$107:$B$156,原格式费用考核表!$B48,累计考核费用!#REF!)/10000</f>
        <v>#REF!</v>
      </c>
      <c r="Y48" s="9" t="e">
        <f ca="1">SUMIF(累计考核费用!$B$107:$B$156,原格式费用考核表!$B48,累计考核费用!#REF!)/10000</f>
        <v>#REF!</v>
      </c>
      <c r="Z48" s="9" t="e">
        <f ca="1">SUMIF(累计考核费用!$B$107:$B$156,原格式费用考核表!$B48,累计考核费用!#REF!)/10000</f>
        <v>#REF!</v>
      </c>
      <c r="AA48" s="9">
        <f>SUMIF(累计考核费用!$B$107:$B$156,原格式费用考核表!$B48,累计考核费用!AC$107:AC$156)/10000</f>
        <v>0</v>
      </c>
      <c r="AB48" s="9" t="e">
        <f ca="1">SUMIF(累计考核费用!$B$107:$B$156,原格式费用考核表!$B48,累计考核费用!#REF!)/10000</f>
        <v>#REF!</v>
      </c>
    </row>
    <row r="49" s="2" customFormat="1" customHeight="1" spans="1:28">
      <c r="A49" s="20"/>
      <c r="B49" s="15" t="s">
        <v>102</v>
      </c>
      <c r="C49" s="15" t="s">
        <v>102</v>
      </c>
      <c r="D49" s="22">
        <f t="shared" ref="D49:AB49" si="5">SUM(D42:D48)</f>
        <v>9585.251269</v>
      </c>
      <c r="E49" s="22">
        <f t="shared" si="5"/>
        <v>-1017.174028</v>
      </c>
      <c r="F49" s="22">
        <f t="shared" si="5"/>
        <v>3704.57071613777</v>
      </c>
      <c r="G49" s="22">
        <f t="shared" si="5"/>
        <v>5869.456248</v>
      </c>
      <c r="H49" s="22">
        <f t="shared" si="5"/>
        <v>241.993612</v>
      </c>
      <c r="I49" s="22">
        <f t="shared" si="5"/>
        <v>518.184357862126</v>
      </c>
      <c r="J49" s="22">
        <f t="shared" si="5"/>
        <v>90.5644602871573</v>
      </c>
      <c r="K49" s="22">
        <f t="shared" si="5"/>
        <v>73.2583469729121</v>
      </c>
      <c r="L49" s="22">
        <f t="shared" si="5"/>
        <v>92.9960872886103</v>
      </c>
      <c r="M49" s="22">
        <f t="shared" si="5"/>
        <v>75.2689278658009</v>
      </c>
      <c r="N49" s="22">
        <f t="shared" si="5"/>
        <v>105.540335928848</v>
      </c>
      <c r="O49" s="22" t="e">
        <f ca="1" t="shared" si="5"/>
        <v>#REF!</v>
      </c>
      <c r="P49" s="22">
        <f t="shared" si="5"/>
        <v>574.835344</v>
      </c>
      <c r="Q49" s="22" t="e">
        <f ca="1" t="shared" si="5"/>
        <v>#REF!</v>
      </c>
      <c r="R49" s="22">
        <f t="shared" si="5"/>
        <v>268.220363000106</v>
      </c>
      <c r="S49" s="22">
        <f t="shared" si="5"/>
        <v>49.7835825587211</v>
      </c>
      <c r="T49" s="22" t="e">
        <f ca="1" t="shared" si="5"/>
        <v>#REF!</v>
      </c>
      <c r="U49" s="22">
        <f t="shared" si="5"/>
        <v>95.1192637362426</v>
      </c>
      <c r="V49" s="22">
        <f t="shared" si="5"/>
        <v>60.0380098944537</v>
      </c>
      <c r="W49" s="22">
        <f t="shared" si="5"/>
        <v>11.849883</v>
      </c>
      <c r="X49" s="22" t="e">
        <f ca="1" t="shared" si="5"/>
        <v>#REF!</v>
      </c>
      <c r="Y49" s="22" t="e">
        <f ca="1" t="shared" si="5"/>
        <v>#REF!</v>
      </c>
      <c r="Z49" s="22" t="e">
        <f ca="1" t="shared" si="5"/>
        <v>#REF!</v>
      </c>
      <c r="AA49" s="22">
        <f t="shared" si="5"/>
        <v>17.40938</v>
      </c>
      <c r="AB49" s="22" t="e">
        <f ca="1" t="shared" si="5"/>
        <v>#REF!</v>
      </c>
    </row>
    <row r="50" s="2" customFormat="1" customHeight="1" spans="1:28">
      <c r="A50" s="23"/>
      <c r="B50" s="23" t="s">
        <v>4</v>
      </c>
      <c r="C50" s="24" t="s">
        <v>4</v>
      </c>
      <c r="D50" s="25">
        <f>D11+D16+D41+D49</f>
        <v>72941.818897</v>
      </c>
      <c r="E50" s="25">
        <f t="shared" ref="E50:AB50" si="6">E11+E16+E41+E49</f>
        <v>2055.0930806975</v>
      </c>
      <c r="F50" s="25">
        <f t="shared" si="6"/>
        <v>17802.5539251378</v>
      </c>
      <c r="G50" s="25">
        <f t="shared" si="6"/>
        <v>36535.0240047925</v>
      </c>
      <c r="H50" s="25">
        <f t="shared" si="6"/>
        <v>1671.477393</v>
      </c>
      <c r="I50" s="25">
        <f t="shared" si="6"/>
        <v>2740.46111116463</v>
      </c>
      <c r="J50" s="25">
        <f t="shared" si="6"/>
        <v>357.587964287157</v>
      </c>
      <c r="K50" s="25">
        <f t="shared" si="6"/>
        <v>433.030018972912</v>
      </c>
      <c r="L50" s="25">
        <f t="shared" si="6"/>
        <v>797.74348728861</v>
      </c>
      <c r="M50" s="25">
        <f t="shared" si="6"/>
        <v>233.115013865801</v>
      </c>
      <c r="N50" s="25">
        <f t="shared" si="6"/>
        <v>460.359939231348</v>
      </c>
      <c r="O50" s="25" t="e">
        <f ca="1" t="shared" si="6"/>
        <v>#REF!</v>
      </c>
      <c r="P50" s="25">
        <f t="shared" si="6"/>
        <v>936.088863</v>
      </c>
      <c r="Q50" s="25" t="e">
        <f ca="1" t="shared" si="6"/>
        <v>#REF!</v>
      </c>
      <c r="R50" s="25">
        <f t="shared" si="6"/>
        <v>12814.5317990001</v>
      </c>
      <c r="S50" s="25">
        <f t="shared" si="6"/>
        <v>1169.85787155872</v>
      </c>
      <c r="T50" s="25" t="e">
        <f ca="1" t="shared" si="6"/>
        <v>#REF!</v>
      </c>
      <c r="U50" s="25">
        <f t="shared" si="6"/>
        <v>8537.13875873624</v>
      </c>
      <c r="V50" s="25">
        <f t="shared" si="6"/>
        <v>2296.35402189445</v>
      </c>
      <c r="W50" s="25">
        <f t="shared" si="6"/>
        <v>752.681734</v>
      </c>
      <c r="X50" s="25" t="e">
        <f ca="1" t="shared" si="6"/>
        <v>#REF!</v>
      </c>
      <c r="Y50" s="25" t="e">
        <f ca="1" t="shared" si="6"/>
        <v>#REF!</v>
      </c>
      <c r="Z50" s="25" t="e">
        <f ca="1" t="shared" si="6"/>
        <v>#REF!</v>
      </c>
      <c r="AA50" s="25">
        <f t="shared" si="6"/>
        <v>837.973739</v>
      </c>
      <c r="AB50" s="25" t="e">
        <f ca="1" t="shared" si="6"/>
        <v>#REF!</v>
      </c>
    </row>
    <row r="52" s="1" customFormat="1" customHeight="1" spans="1:28">
      <c r="A52" s="4" t="s">
        <v>89</v>
      </c>
      <c r="B52" s="5" t="s">
        <v>90</v>
      </c>
      <c r="C52" s="4"/>
      <c r="D52" s="6" t="s">
        <v>4</v>
      </c>
      <c r="E52" s="6" t="s">
        <v>5</v>
      </c>
      <c r="F52" s="6" t="s">
        <v>6</v>
      </c>
      <c r="G52" s="6" t="s">
        <v>7</v>
      </c>
      <c r="H52" s="6" t="s">
        <v>9</v>
      </c>
      <c r="I52" s="6" t="s">
        <v>13</v>
      </c>
      <c r="J52" s="32" t="s">
        <v>78</v>
      </c>
      <c r="K52" s="32" t="s">
        <v>18</v>
      </c>
      <c r="L52" s="32" t="s">
        <v>17</v>
      </c>
      <c r="M52" s="32" t="s">
        <v>16</v>
      </c>
      <c r="N52" s="32" t="s">
        <v>79</v>
      </c>
      <c r="O52" s="32" t="s">
        <v>80</v>
      </c>
      <c r="P52" s="32" t="s">
        <v>20</v>
      </c>
      <c r="Q52" s="32" t="s">
        <v>645</v>
      </c>
      <c r="R52" s="6" t="s">
        <v>81</v>
      </c>
      <c r="S52" s="6" t="s">
        <v>21</v>
      </c>
      <c r="T52" s="32" t="s">
        <v>83</v>
      </c>
      <c r="U52" s="32" t="s">
        <v>82</v>
      </c>
      <c r="V52" s="32" t="s">
        <v>647</v>
      </c>
      <c r="W52" s="32" t="s">
        <v>157</v>
      </c>
      <c r="X52" s="6" t="s">
        <v>85</v>
      </c>
      <c r="Y52" s="32" t="s">
        <v>86</v>
      </c>
      <c r="Z52" s="32" t="s">
        <v>164</v>
      </c>
      <c r="AA52" s="6" t="s">
        <v>158</v>
      </c>
      <c r="AB52" s="6" t="s">
        <v>159</v>
      </c>
    </row>
    <row r="55" s="2" customFormat="1" ht="13.5" spans="1:27">
      <c r="A55" s="26" t="s">
        <v>89</v>
      </c>
      <c r="B55" s="27" t="s">
        <v>90</v>
      </c>
      <c r="C55" s="26"/>
      <c r="D55" s="28" t="s">
        <v>4</v>
      </c>
      <c r="E55" s="28" t="s">
        <v>5</v>
      </c>
      <c r="F55" s="28" t="s">
        <v>6</v>
      </c>
      <c r="G55" s="28" t="s">
        <v>7</v>
      </c>
      <c r="H55" s="28" t="s">
        <v>9</v>
      </c>
      <c r="I55" s="28" t="s">
        <v>13</v>
      </c>
      <c r="J55" s="33" t="s">
        <v>78</v>
      </c>
      <c r="K55" s="33" t="s">
        <v>17</v>
      </c>
      <c r="L55" s="33" t="s">
        <v>79</v>
      </c>
      <c r="M55" s="33" t="s">
        <v>80</v>
      </c>
      <c r="N55" s="33" t="s">
        <v>20</v>
      </c>
      <c r="O55" s="33" t="s">
        <v>645</v>
      </c>
      <c r="P55" s="28" t="s">
        <v>81</v>
      </c>
      <c r="Q55" s="28" t="s">
        <v>21</v>
      </c>
      <c r="R55" s="33" t="s">
        <v>83</v>
      </c>
      <c r="S55" s="33" t="s">
        <v>82</v>
      </c>
      <c r="T55" s="33" t="s">
        <v>647</v>
      </c>
      <c r="U55" s="33" t="s">
        <v>157</v>
      </c>
      <c r="V55" s="28" t="s">
        <v>85</v>
      </c>
      <c r="W55" s="33" t="s">
        <v>86</v>
      </c>
      <c r="X55" s="33" t="s">
        <v>164</v>
      </c>
      <c r="Y55" s="33" t="s">
        <v>158</v>
      </c>
      <c r="Z55" s="28">
        <v>0</v>
      </c>
      <c r="AA55" s="28">
        <v>0</v>
      </c>
    </row>
    <row r="56" customHeight="1" spans="1:27">
      <c r="A56" s="29" t="s">
        <v>652</v>
      </c>
      <c r="B56" t="s">
        <v>292</v>
      </c>
      <c r="D56">
        <v>50.166797</v>
      </c>
      <c r="E56">
        <v>0</v>
      </c>
      <c r="F56">
        <v>19.743404</v>
      </c>
      <c r="G56">
        <v>21.382383</v>
      </c>
      <c r="H56">
        <v>1.2</v>
      </c>
      <c r="I56">
        <v>4.33241</v>
      </c>
      <c r="J56">
        <v>0.127</v>
      </c>
      <c r="K56">
        <v>1.373904</v>
      </c>
      <c r="L56">
        <v>0.9166</v>
      </c>
      <c r="M56">
        <v>0</v>
      </c>
      <c r="N56">
        <v>1.353906</v>
      </c>
      <c r="O56">
        <v>0.561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0.839</v>
      </c>
      <c r="V56">
        <v>1.7096</v>
      </c>
      <c r="W56">
        <v>1.229</v>
      </c>
      <c r="X56">
        <v>0.4806</v>
      </c>
      <c r="Y56">
        <v>0</v>
      </c>
      <c r="Z56">
        <v>0</v>
      </c>
      <c r="AA56">
        <v>0</v>
      </c>
    </row>
    <row r="57" customHeight="1" spans="4:25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="3" customFormat="1" customHeight="1" spans="2:26">
      <c r="B59" s="26" t="s">
        <v>89</v>
      </c>
      <c r="C59" s="27" t="s">
        <v>90</v>
      </c>
      <c r="D59" s="28" t="s">
        <v>4</v>
      </c>
      <c r="E59" s="28" t="s">
        <v>5</v>
      </c>
      <c r="F59" s="28" t="s">
        <v>6</v>
      </c>
      <c r="G59" s="28" t="s">
        <v>7</v>
      </c>
      <c r="H59" s="28" t="s">
        <v>9</v>
      </c>
      <c r="I59" s="28" t="s">
        <v>13</v>
      </c>
      <c r="J59" s="33" t="s">
        <v>78</v>
      </c>
      <c r="K59" s="33" t="s">
        <v>17</v>
      </c>
      <c r="L59" s="33" t="s">
        <v>79</v>
      </c>
      <c r="M59" s="33" t="s">
        <v>80</v>
      </c>
      <c r="N59" s="33" t="s">
        <v>20</v>
      </c>
      <c r="O59" s="33" t="s">
        <v>645</v>
      </c>
      <c r="P59" s="28" t="s">
        <v>81</v>
      </c>
      <c r="Q59" s="28" t="s">
        <v>21</v>
      </c>
      <c r="R59" s="33" t="s">
        <v>83</v>
      </c>
      <c r="S59" s="33" t="s">
        <v>82</v>
      </c>
      <c r="T59" s="33" t="s">
        <v>647</v>
      </c>
      <c r="U59" s="33" t="s">
        <v>157</v>
      </c>
      <c r="V59" s="28" t="s">
        <v>85</v>
      </c>
      <c r="W59" s="33" t="s">
        <v>86</v>
      </c>
      <c r="X59" s="33" t="s">
        <v>164</v>
      </c>
      <c r="Y59" s="33" t="s">
        <v>158</v>
      </c>
      <c r="Z59" s="6" t="s">
        <v>159</v>
      </c>
    </row>
    <row r="60" s="3" customFormat="1" customHeight="1" spans="2:26">
      <c r="B60" s="7" t="s">
        <v>91</v>
      </c>
      <c r="C60" s="30" t="s">
        <v>92</v>
      </c>
      <c r="D60" s="31">
        <f>D2</f>
        <v>22207.430835</v>
      </c>
      <c r="E60" s="31" t="e">
        <f ca="1">E2+AB2</f>
        <v>#REF!</v>
      </c>
      <c r="F60" s="31">
        <f t="shared" ref="F60:J69" si="8">F2</f>
        <v>7078.375272</v>
      </c>
      <c r="G60" s="31">
        <f t="shared" si="8"/>
        <v>10084.680465</v>
      </c>
      <c r="H60" s="31">
        <f t="shared" si="8"/>
        <v>702.489544</v>
      </c>
      <c r="I60" s="31">
        <f t="shared" si="8"/>
        <v>1175.740825</v>
      </c>
      <c r="J60" s="31">
        <f t="shared" si="8"/>
        <v>101.546725</v>
      </c>
      <c r="K60" s="31">
        <f>K2+L2</f>
        <v>595.627224</v>
      </c>
      <c r="L60" s="31">
        <f t="shared" ref="L60:L91" si="9">N2</f>
        <v>228.306253</v>
      </c>
      <c r="M60" s="31" t="e">
        <f ca="1" t="shared" ref="M60:M91" si="10">O2</f>
        <v>#REF!</v>
      </c>
      <c r="N60" s="31">
        <f t="shared" ref="N60:N91" si="11">P2</f>
        <v>217.262606</v>
      </c>
      <c r="O60" s="31" t="e">
        <f ca="1" t="shared" ref="O60:O91" si="12">Q2</f>
        <v>#REF!</v>
      </c>
      <c r="P60" s="31">
        <f t="shared" ref="P60:Z60" si="13">R2</f>
        <v>2366.144729</v>
      </c>
      <c r="Q60" s="31">
        <f t="shared" si="13"/>
        <v>440.951279</v>
      </c>
      <c r="R60" s="31" t="e">
        <f ca="1" t="shared" si="13"/>
        <v>#REF!</v>
      </c>
      <c r="S60" s="31">
        <f t="shared" si="13"/>
        <v>777.843488</v>
      </c>
      <c r="T60" s="31">
        <f t="shared" si="13"/>
        <v>816.824107</v>
      </c>
      <c r="U60" s="31">
        <f t="shared" si="13"/>
        <v>480.251835</v>
      </c>
      <c r="V60" s="31" t="e">
        <f ca="1" t="shared" si="13"/>
        <v>#REF!</v>
      </c>
      <c r="W60" s="31" t="e">
        <f ca="1" t="shared" si="13"/>
        <v>#REF!</v>
      </c>
      <c r="X60" s="31" t="e">
        <f ca="1" t="shared" si="13"/>
        <v>#REF!</v>
      </c>
      <c r="Y60" s="31">
        <f t="shared" si="13"/>
        <v>534.100106</v>
      </c>
      <c r="Z60" s="34" t="e">
        <f ca="1" t="shared" si="13"/>
        <v>#REF!</v>
      </c>
    </row>
    <row r="61" s="3" customFormat="1" customHeight="1" spans="2:26">
      <c r="B61" s="10"/>
      <c r="C61" s="30" t="s">
        <v>93</v>
      </c>
      <c r="D61" s="31">
        <f t="shared" ref="D61:D108" si="14">D3</f>
        <v>375.741506</v>
      </c>
      <c r="E61" s="31" t="e">
        <f ca="1" t="shared" ref="E61:E108" si="15">E3+AB3</f>
        <v>#REF!</v>
      </c>
      <c r="F61" s="31">
        <f t="shared" si="8"/>
        <v>166.181544</v>
      </c>
      <c r="G61" s="31">
        <f t="shared" si="8"/>
        <v>147.365251</v>
      </c>
      <c r="H61" s="31">
        <f t="shared" si="8"/>
        <v>7.367518</v>
      </c>
      <c r="I61" s="31">
        <f t="shared" si="8"/>
        <v>5.477213</v>
      </c>
      <c r="J61" s="31">
        <f t="shared" si="8"/>
        <v>0.653</v>
      </c>
      <c r="K61" s="31">
        <f t="shared" ref="K61:K108" si="16">K3+L3</f>
        <v>4.006627</v>
      </c>
      <c r="L61" s="31">
        <f t="shared" si="9"/>
        <v>0.315086</v>
      </c>
      <c r="M61" s="31" t="e">
        <f ca="1" t="shared" si="10"/>
        <v>#REF!</v>
      </c>
      <c r="N61" s="31">
        <f t="shared" si="11"/>
        <v>4.94809</v>
      </c>
      <c r="O61" s="31" t="e">
        <f ca="1" t="shared" si="12"/>
        <v>#REF!</v>
      </c>
      <c r="P61" s="31">
        <f t="shared" ref="P61:P108" si="17">R3</f>
        <v>49.34998</v>
      </c>
      <c r="Q61" s="31">
        <f t="shared" ref="Q61:Q108" si="18">S3</f>
        <v>11.564341</v>
      </c>
      <c r="R61" s="31" t="e">
        <f ca="1" t="shared" ref="R61:R108" si="19">T3</f>
        <v>#REF!</v>
      </c>
      <c r="S61" s="31">
        <f t="shared" ref="S61:S108" si="20">U3</f>
        <v>23.956396</v>
      </c>
      <c r="T61" s="31">
        <f t="shared" ref="T61:T108" si="21">V3</f>
        <v>11.739412</v>
      </c>
      <c r="U61" s="31">
        <f t="shared" ref="U61:U108" si="22">W3</f>
        <v>17.163986</v>
      </c>
      <c r="V61" s="31" t="e">
        <f ca="1" t="shared" ref="V61:V108" si="23">X3</f>
        <v>#REF!</v>
      </c>
      <c r="W61" s="31" t="e">
        <f ca="1" t="shared" ref="W61:W108" si="24">Y3</f>
        <v>#REF!</v>
      </c>
      <c r="X61" s="31" t="e">
        <f ca="1" t="shared" ref="X61:X108" si="25">Z3</f>
        <v>#REF!</v>
      </c>
      <c r="Y61" s="31">
        <f t="shared" ref="Y61:Y108" si="26">AA3</f>
        <v>15.797</v>
      </c>
      <c r="Z61" s="34" t="e">
        <f ca="1" t="shared" ref="Z61:Z108" si="27">AB3</f>
        <v>#REF!</v>
      </c>
    </row>
    <row r="62" s="3" customFormat="1" customHeight="1" spans="2:26">
      <c r="B62" s="10"/>
      <c r="C62" s="30" t="s">
        <v>94</v>
      </c>
      <c r="D62" s="31">
        <f t="shared" si="14"/>
        <v>703.14091</v>
      </c>
      <c r="E62" s="31" t="e">
        <f ca="1" t="shared" si="15"/>
        <v>#REF!</v>
      </c>
      <c r="F62" s="31">
        <f t="shared" si="8"/>
        <v>112.436113</v>
      </c>
      <c r="G62" s="31">
        <f t="shared" si="8"/>
        <v>347.732694</v>
      </c>
      <c r="H62" s="31">
        <f t="shared" si="8"/>
        <v>14.233536</v>
      </c>
      <c r="I62" s="31">
        <f t="shared" si="8"/>
        <v>23.855294</v>
      </c>
      <c r="J62" s="31">
        <f t="shared" si="8"/>
        <v>2.015492</v>
      </c>
      <c r="K62" s="31">
        <f t="shared" si="16"/>
        <v>12.090544</v>
      </c>
      <c r="L62" s="31">
        <f t="shared" si="9"/>
        <v>4.639765</v>
      </c>
      <c r="M62" s="31" t="e">
        <f ca="1" t="shared" si="10"/>
        <v>#REF!</v>
      </c>
      <c r="N62" s="31">
        <f t="shared" si="11"/>
        <v>3.549923</v>
      </c>
      <c r="O62" s="31" t="e">
        <f ca="1" t="shared" si="12"/>
        <v>#REF!</v>
      </c>
      <c r="P62" s="31">
        <f t="shared" si="17"/>
        <v>204.883273</v>
      </c>
      <c r="Q62" s="31">
        <f t="shared" si="18"/>
        <v>11.952069</v>
      </c>
      <c r="R62" s="31" t="e">
        <f ca="1" t="shared" si="19"/>
        <v>#REF!</v>
      </c>
      <c r="S62" s="31">
        <f t="shared" si="20"/>
        <v>154.494118</v>
      </c>
      <c r="T62" s="31">
        <f t="shared" si="21"/>
        <v>32.656375</v>
      </c>
      <c r="U62" s="31">
        <f t="shared" si="22"/>
        <v>6.539864</v>
      </c>
      <c r="V62" s="31" t="e">
        <f ca="1" t="shared" si="23"/>
        <v>#REF!</v>
      </c>
      <c r="W62" s="31" t="e">
        <f ca="1" t="shared" si="24"/>
        <v>#REF!</v>
      </c>
      <c r="X62" s="31" t="e">
        <f ca="1" t="shared" si="25"/>
        <v>#REF!</v>
      </c>
      <c r="Y62" s="31">
        <f t="shared" si="26"/>
        <v>8.574468</v>
      </c>
      <c r="Z62" s="34" t="e">
        <f ca="1" t="shared" si="27"/>
        <v>#REF!</v>
      </c>
    </row>
    <row r="63" s="3" customFormat="1" customHeight="1" spans="2:26">
      <c r="B63" s="10"/>
      <c r="C63" s="30" t="s">
        <v>96</v>
      </c>
      <c r="D63" s="31">
        <f t="shared" si="14"/>
        <v>6082.330046</v>
      </c>
      <c r="E63" s="31" t="e">
        <f ca="1" t="shared" si="15"/>
        <v>#REF!</v>
      </c>
      <c r="F63" s="31">
        <f t="shared" si="8"/>
        <v>1808.24122</v>
      </c>
      <c r="G63" s="31">
        <f t="shared" si="8"/>
        <v>3115.160378</v>
      </c>
      <c r="H63" s="31">
        <f t="shared" si="8"/>
        <v>188.770223</v>
      </c>
      <c r="I63" s="31">
        <f t="shared" si="8"/>
        <v>260.772757</v>
      </c>
      <c r="J63" s="31">
        <f t="shared" si="8"/>
        <v>17.38516</v>
      </c>
      <c r="K63" s="31">
        <f t="shared" si="16"/>
        <v>141.28448</v>
      </c>
      <c r="L63" s="31">
        <f t="shared" si="9"/>
        <v>44.590633</v>
      </c>
      <c r="M63" s="31" t="e">
        <f ca="1" t="shared" si="10"/>
        <v>#REF!</v>
      </c>
      <c r="N63" s="31">
        <f t="shared" si="11"/>
        <v>43.745043</v>
      </c>
      <c r="O63" s="31" t="e">
        <f ca="1" t="shared" si="12"/>
        <v>#REF!</v>
      </c>
      <c r="P63" s="31">
        <f t="shared" si="17"/>
        <v>709.385468</v>
      </c>
      <c r="Q63" s="31">
        <f t="shared" si="18"/>
        <v>146.337128</v>
      </c>
      <c r="R63" s="31" t="e">
        <f ca="1" t="shared" si="19"/>
        <v>#REF!</v>
      </c>
      <c r="S63" s="31">
        <f t="shared" si="20"/>
        <v>242.179067</v>
      </c>
      <c r="T63" s="31">
        <f t="shared" si="21"/>
        <v>219.212024</v>
      </c>
      <c r="U63" s="31">
        <f t="shared" si="22"/>
        <v>100.576426</v>
      </c>
      <c r="V63" s="31" t="e">
        <f ca="1" t="shared" si="23"/>
        <v>#REF!</v>
      </c>
      <c r="W63" s="31" t="e">
        <f ca="1" t="shared" si="24"/>
        <v>#REF!</v>
      </c>
      <c r="X63" s="31" t="e">
        <f ca="1" t="shared" si="25"/>
        <v>#REF!</v>
      </c>
      <c r="Y63" s="31">
        <f t="shared" si="26"/>
        <v>155.359099</v>
      </c>
      <c r="Z63" s="34" t="e">
        <f ca="1" t="shared" si="27"/>
        <v>#REF!</v>
      </c>
    </row>
    <row r="64" s="3" customFormat="1" customHeight="1" spans="2:26">
      <c r="B64" s="10"/>
      <c r="C64" s="30" t="s">
        <v>97</v>
      </c>
      <c r="D64" s="31">
        <f t="shared" si="14"/>
        <v>35.974437</v>
      </c>
      <c r="E64" s="31" t="e">
        <f ca="1" t="shared" si="15"/>
        <v>#REF!</v>
      </c>
      <c r="F64" s="31">
        <f t="shared" si="8"/>
        <v>20</v>
      </c>
      <c r="G64" s="31">
        <f t="shared" si="8"/>
        <v>11.2749</v>
      </c>
      <c r="H64" s="31">
        <f t="shared" si="8"/>
        <v>4.699537</v>
      </c>
      <c r="I64" s="31">
        <f t="shared" si="8"/>
        <v>0</v>
      </c>
      <c r="J64" s="31">
        <f t="shared" si="8"/>
        <v>0</v>
      </c>
      <c r="K64" s="31">
        <f t="shared" si="16"/>
        <v>0</v>
      </c>
      <c r="L64" s="31">
        <f t="shared" si="9"/>
        <v>0</v>
      </c>
      <c r="M64" s="31" t="e">
        <f ca="1" t="shared" si="10"/>
        <v>#REF!</v>
      </c>
      <c r="N64" s="31">
        <f t="shared" si="11"/>
        <v>0</v>
      </c>
      <c r="O64" s="31" t="e">
        <f ca="1" t="shared" si="12"/>
        <v>#REF!</v>
      </c>
      <c r="P64" s="31">
        <f t="shared" si="17"/>
        <v>0</v>
      </c>
      <c r="Q64" s="31">
        <f t="shared" si="18"/>
        <v>0</v>
      </c>
      <c r="R64" s="31" t="e">
        <f ca="1" t="shared" si="19"/>
        <v>#REF!</v>
      </c>
      <c r="S64" s="31">
        <f t="shared" si="20"/>
        <v>0</v>
      </c>
      <c r="T64" s="31">
        <f t="shared" si="21"/>
        <v>0</v>
      </c>
      <c r="U64" s="31">
        <f t="shared" si="22"/>
        <v>0</v>
      </c>
      <c r="V64" s="31" t="e">
        <f ca="1" t="shared" si="23"/>
        <v>#REF!</v>
      </c>
      <c r="W64" s="31" t="e">
        <f ca="1" t="shared" si="24"/>
        <v>#REF!</v>
      </c>
      <c r="X64" s="31" t="e">
        <f ca="1" t="shared" si="25"/>
        <v>#REF!</v>
      </c>
      <c r="Y64" s="31">
        <f t="shared" si="26"/>
        <v>0</v>
      </c>
      <c r="Z64" s="34" t="e">
        <f ca="1" t="shared" si="27"/>
        <v>#REF!</v>
      </c>
    </row>
    <row r="65" s="3" customFormat="1" customHeight="1" spans="2:26">
      <c r="B65" s="10"/>
      <c r="C65" s="30" t="s">
        <v>98</v>
      </c>
      <c r="D65" s="31">
        <f t="shared" si="14"/>
        <v>429.833856</v>
      </c>
      <c r="E65" s="31" t="e">
        <f ca="1" t="shared" si="15"/>
        <v>#REF!</v>
      </c>
      <c r="F65" s="31">
        <f t="shared" si="8"/>
        <v>112.900546</v>
      </c>
      <c r="G65" s="31">
        <f t="shared" si="8"/>
        <v>272.901061</v>
      </c>
      <c r="H65" s="31">
        <f t="shared" si="8"/>
        <v>6.893418</v>
      </c>
      <c r="I65" s="31">
        <f t="shared" si="8"/>
        <v>10.821025</v>
      </c>
      <c r="J65" s="31">
        <f t="shared" si="8"/>
        <v>1.346581</v>
      </c>
      <c r="K65" s="31">
        <f t="shared" si="16"/>
        <v>4.30906</v>
      </c>
      <c r="L65" s="31">
        <f t="shared" si="9"/>
        <v>1.615897</v>
      </c>
      <c r="M65" s="31" t="e">
        <f ca="1" t="shared" si="10"/>
        <v>#REF!</v>
      </c>
      <c r="N65" s="31">
        <f t="shared" si="11"/>
        <v>3.850683</v>
      </c>
      <c r="O65" s="31" t="e">
        <f ca="1" t="shared" si="12"/>
        <v>#REF!</v>
      </c>
      <c r="P65" s="31">
        <f t="shared" si="17"/>
        <v>26.317806</v>
      </c>
      <c r="Q65" s="31">
        <f t="shared" si="18"/>
        <v>7.843789</v>
      </c>
      <c r="R65" s="31" t="e">
        <f ca="1" t="shared" si="19"/>
        <v>#REF!</v>
      </c>
      <c r="S65" s="31">
        <f t="shared" si="20"/>
        <v>11.755385</v>
      </c>
      <c r="T65" s="31">
        <f t="shared" si="21"/>
        <v>4.564102</v>
      </c>
      <c r="U65" s="31">
        <f t="shared" si="22"/>
        <v>5.830427</v>
      </c>
      <c r="V65" s="31" t="e">
        <f ca="1" t="shared" si="23"/>
        <v>#REF!</v>
      </c>
      <c r="W65" s="31" t="e">
        <f ca="1" t="shared" si="24"/>
        <v>#REF!</v>
      </c>
      <c r="X65" s="31" t="e">
        <f ca="1" t="shared" si="25"/>
        <v>#REF!</v>
      </c>
      <c r="Y65" s="31">
        <f t="shared" si="26"/>
        <v>16.490712</v>
      </c>
      <c r="Z65" s="34" t="e">
        <f ca="1" t="shared" si="27"/>
        <v>#REF!</v>
      </c>
    </row>
    <row r="66" s="3" customFormat="1" customHeight="1" spans="2:26">
      <c r="B66" s="10"/>
      <c r="C66" s="30" t="s">
        <v>99</v>
      </c>
      <c r="D66" s="31">
        <f t="shared" si="14"/>
        <v>273.088759</v>
      </c>
      <c r="E66" s="31" t="e">
        <f ca="1" t="shared" si="15"/>
        <v>#REF!</v>
      </c>
      <c r="F66" s="31">
        <f t="shared" si="8"/>
        <v>64.700828</v>
      </c>
      <c r="G66" s="31">
        <f t="shared" si="8"/>
        <v>182.516621</v>
      </c>
      <c r="H66" s="31">
        <f t="shared" si="8"/>
        <v>9.18731</v>
      </c>
      <c r="I66" s="31">
        <f t="shared" si="8"/>
        <v>16.684</v>
      </c>
      <c r="J66" s="31">
        <f t="shared" si="8"/>
        <v>-0.772</v>
      </c>
      <c r="K66" s="31">
        <f t="shared" si="16"/>
        <v>8.9</v>
      </c>
      <c r="L66" s="31">
        <f t="shared" si="9"/>
        <v>3.342</v>
      </c>
      <c r="M66" s="31" t="e">
        <f ca="1" t="shared" si="10"/>
        <v>#REF!</v>
      </c>
      <c r="N66" s="31">
        <f t="shared" si="11"/>
        <v>1.974</v>
      </c>
      <c r="O66" s="31" t="e">
        <f ca="1" t="shared" si="12"/>
        <v>#REF!</v>
      </c>
      <c r="P66" s="31">
        <f t="shared" si="17"/>
        <v>0</v>
      </c>
      <c r="Q66" s="31">
        <f t="shared" si="18"/>
        <v>0</v>
      </c>
      <c r="R66" s="31" t="e">
        <f ca="1" t="shared" si="19"/>
        <v>#REF!</v>
      </c>
      <c r="S66" s="31">
        <f t="shared" si="20"/>
        <v>0</v>
      </c>
      <c r="T66" s="31">
        <f t="shared" si="21"/>
        <v>0</v>
      </c>
      <c r="U66" s="31">
        <f t="shared" si="22"/>
        <v>0</v>
      </c>
      <c r="V66" s="31" t="e">
        <f ca="1" t="shared" si="23"/>
        <v>#REF!</v>
      </c>
      <c r="W66" s="31" t="e">
        <f ca="1" t="shared" si="24"/>
        <v>#REF!</v>
      </c>
      <c r="X66" s="31" t="e">
        <f ca="1" t="shared" si="25"/>
        <v>#REF!</v>
      </c>
      <c r="Y66" s="31">
        <f t="shared" si="26"/>
        <v>10.536828</v>
      </c>
      <c r="Z66" s="34" t="e">
        <f ca="1" t="shared" si="27"/>
        <v>#REF!</v>
      </c>
    </row>
    <row r="67" s="3" customFormat="1" customHeight="1" spans="2:26">
      <c r="B67" s="10"/>
      <c r="C67" s="30" t="s">
        <v>292</v>
      </c>
      <c r="D67" s="31">
        <f t="shared" si="14"/>
        <v>50.166797</v>
      </c>
      <c r="E67" s="31">
        <f t="shared" si="15"/>
        <v>0</v>
      </c>
      <c r="F67" s="31">
        <f t="shared" si="8"/>
        <v>19.743404</v>
      </c>
      <c r="G67" s="31">
        <f t="shared" si="8"/>
        <v>21.382383</v>
      </c>
      <c r="H67" s="31">
        <f t="shared" si="8"/>
        <v>1.2</v>
      </c>
      <c r="I67" s="31">
        <f t="shared" si="8"/>
        <v>4.33241</v>
      </c>
      <c r="J67" s="31">
        <f t="shared" si="8"/>
        <v>0.127</v>
      </c>
      <c r="K67" s="31">
        <f t="shared" si="16"/>
        <v>1.373904</v>
      </c>
      <c r="L67" s="31">
        <f t="shared" si="9"/>
        <v>0.9166</v>
      </c>
      <c r="M67" s="31">
        <f t="shared" si="10"/>
        <v>0</v>
      </c>
      <c r="N67" s="31">
        <f t="shared" si="11"/>
        <v>1.353906</v>
      </c>
      <c r="O67" s="31">
        <f t="shared" si="12"/>
        <v>0.561</v>
      </c>
      <c r="P67" s="31">
        <f t="shared" si="17"/>
        <v>0.8</v>
      </c>
      <c r="Q67" s="31">
        <f t="shared" si="18"/>
        <v>0.999</v>
      </c>
      <c r="R67" s="31">
        <f t="shared" si="19"/>
        <v>0</v>
      </c>
      <c r="S67" s="31">
        <f t="shared" si="20"/>
        <v>0.16</v>
      </c>
      <c r="T67" s="31">
        <f t="shared" si="21"/>
        <v>0</v>
      </c>
      <c r="U67" s="31">
        <f t="shared" si="22"/>
        <v>0.839</v>
      </c>
      <c r="V67" s="31">
        <f t="shared" si="23"/>
        <v>1.7096</v>
      </c>
      <c r="W67" s="31">
        <f t="shared" si="24"/>
        <v>1.229</v>
      </c>
      <c r="X67" s="31">
        <f t="shared" si="25"/>
        <v>0.4806</v>
      </c>
      <c r="Y67" s="31">
        <f t="shared" si="26"/>
        <v>0</v>
      </c>
      <c r="Z67" s="34">
        <f t="shared" si="27"/>
        <v>0</v>
      </c>
    </row>
    <row r="68" s="3" customFormat="1" customHeight="1" spans="2:26">
      <c r="B68" s="10"/>
      <c r="C68" s="30" t="s">
        <v>101</v>
      </c>
      <c r="D68" s="31">
        <f t="shared" si="14"/>
        <v>1871.745908</v>
      </c>
      <c r="E68" s="31" t="e">
        <f ca="1" t="shared" si="15"/>
        <v>#REF!</v>
      </c>
      <c r="F68" s="31">
        <f t="shared" si="8"/>
        <v>2550</v>
      </c>
      <c r="G68" s="31">
        <f t="shared" si="8"/>
        <v>0</v>
      </c>
      <c r="H68" s="31">
        <f t="shared" si="8"/>
        <v>0</v>
      </c>
      <c r="I68" s="31">
        <f t="shared" si="8"/>
        <v>0</v>
      </c>
      <c r="J68" s="31">
        <f t="shared" si="8"/>
        <v>0</v>
      </c>
      <c r="K68" s="31">
        <f t="shared" si="16"/>
        <v>0</v>
      </c>
      <c r="L68" s="31">
        <f t="shared" si="9"/>
        <v>0</v>
      </c>
      <c r="M68" s="31" t="e">
        <f ca="1" t="shared" si="10"/>
        <v>#REF!</v>
      </c>
      <c r="N68" s="31">
        <f t="shared" si="11"/>
        <v>0</v>
      </c>
      <c r="O68" s="31" t="e">
        <f ca="1" t="shared" si="12"/>
        <v>#REF!</v>
      </c>
      <c r="P68" s="31">
        <f t="shared" si="17"/>
        <v>0</v>
      </c>
      <c r="Q68" s="31">
        <f t="shared" si="18"/>
        <v>0</v>
      </c>
      <c r="R68" s="31" t="e">
        <f ca="1" t="shared" si="19"/>
        <v>#REF!</v>
      </c>
      <c r="S68" s="31">
        <f t="shared" si="20"/>
        <v>0</v>
      </c>
      <c r="T68" s="31">
        <f t="shared" si="21"/>
        <v>0</v>
      </c>
      <c r="U68" s="31">
        <f t="shared" si="22"/>
        <v>0</v>
      </c>
      <c r="V68" s="31" t="e">
        <f ca="1" t="shared" si="23"/>
        <v>#REF!</v>
      </c>
      <c r="W68" s="31" t="e">
        <f ca="1" t="shared" si="24"/>
        <v>#REF!</v>
      </c>
      <c r="X68" s="31" t="e">
        <f ca="1" t="shared" si="25"/>
        <v>#REF!</v>
      </c>
      <c r="Y68" s="31">
        <f t="shared" si="26"/>
        <v>0</v>
      </c>
      <c r="Z68" s="34" t="e">
        <f ca="1" t="shared" si="27"/>
        <v>#REF!</v>
      </c>
    </row>
    <row r="69" s="3" customFormat="1" customHeight="1" spans="2:26">
      <c r="B69" s="12"/>
      <c r="C69" s="30" t="s">
        <v>102</v>
      </c>
      <c r="D69" s="31">
        <f t="shared" si="14"/>
        <v>32029.453054</v>
      </c>
      <c r="E69" s="31" t="e">
        <f ca="1" t="shared" si="15"/>
        <v>#REF!</v>
      </c>
      <c r="F69" s="31">
        <f t="shared" si="8"/>
        <v>11932.578927</v>
      </c>
      <c r="G69" s="31">
        <f t="shared" si="8"/>
        <v>14183.013753</v>
      </c>
      <c r="H69" s="31">
        <f t="shared" si="8"/>
        <v>934.841086</v>
      </c>
      <c r="I69" s="31">
        <f t="shared" si="8"/>
        <v>1497.683524</v>
      </c>
      <c r="J69" s="31">
        <f t="shared" si="8"/>
        <v>122.301958</v>
      </c>
      <c r="K69" s="31">
        <f t="shared" si="16"/>
        <v>767.591839</v>
      </c>
      <c r="L69" s="31">
        <f t="shared" si="9"/>
        <v>283.726234</v>
      </c>
      <c r="M69" s="31" t="e">
        <f ca="1" t="shared" si="10"/>
        <v>#REF!</v>
      </c>
      <c r="N69" s="31">
        <f t="shared" si="11"/>
        <v>276.684251</v>
      </c>
      <c r="O69" s="31" t="e">
        <f ca="1" t="shared" si="12"/>
        <v>#REF!</v>
      </c>
      <c r="P69" s="31">
        <f t="shared" si="17"/>
        <v>3356.881256</v>
      </c>
      <c r="Q69" s="31">
        <f t="shared" si="18"/>
        <v>619.647606</v>
      </c>
      <c r="R69" s="31" t="e">
        <f ca="1" t="shared" si="19"/>
        <v>#REF!</v>
      </c>
      <c r="S69" s="31">
        <f t="shared" si="20"/>
        <v>1210.388454</v>
      </c>
      <c r="T69" s="31">
        <f t="shared" si="21"/>
        <v>1084.99602</v>
      </c>
      <c r="U69" s="31">
        <f t="shared" si="22"/>
        <v>611.201538</v>
      </c>
      <c r="V69" s="31" t="e">
        <f ca="1" t="shared" si="23"/>
        <v>#REF!</v>
      </c>
      <c r="W69" s="31" t="e">
        <f ca="1" t="shared" si="24"/>
        <v>#REF!</v>
      </c>
      <c r="X69" s="31" t="e">
        <f ca="1" t="shared" si="25"/>
        <v>#REF!</v>
      </c>
      <c r="Y69" s="31">
        <f t="shared" si="26"/>
        <v>740.858213</v>
      </c>
      <c r="Z69" s="34" t="e">
        <f ca="1" t="shared" si="27"/>
        <v>#REF!</v>
      </c>
    </row>
    <row r="70" s="3" customFormat="1" customHeight="1" spans="2:26">
      <c r="B70" s="14" t="s">
        <v>103</v>
      </c>
      <c r="C70" s="35" t="s">
        <v>104</v>
      </c>
      <c r="D70" s="31">
        <f t="shared" si="14"/>
        <v>10676.82173</v>
      </c>
      <c r="E70" s="31" t="e">
        <f ca="1" t="shared" si="15"/>
        <v>#REF!</v>
      </c>
      <c r="F70" s="31">
        <f t="shared" ref="F70:J79" si="28">F12</f>
        <v>107.517718</v>
      </c>
      <c r="G70" s="31">
        <f t="shared" si="28"/>
        <v>2896.399947</v>
      </c>
      <c r="H70" s="31">
        <f t="shared" si="28"/>
        <v>270.987452</v>
      </c>
      <c r="I70" s="31">
        <f t="shared" si="28"/>
        <v>0.34</v>
      </c>
      <c r="J70" s="31">
        <f t="shared" si="28"/>
        <v>0</v>
      </c>
      <c r="K70" s="31">
        <f t="shared" si="16"/>
        <v>0</v>
      </c>
      <c r="L70" s="31">
        <f t="shared" si="9"/>
        <v>0.34</v>
      </c>
      <c r="M70" s="31" t="e">
        <f ca="1" t="shared" si="10"/>
        <v>#REF!</v>
      </c>
      <c r="N70" s="31">
        <f t="shared" si="11"/>
        <v>0</v>
      </c>
      <c r="O70" s="31" t="e">
        <f ca="1" t="shared" si="12"/>
        <v>#REF!</v>
      </c>
      <c r="P70" s="31">
        <f t="shared" si="17"/>
        <v>5856.992714</v>
      </c>
      <c r="Q70" s="31">
        <f t="shared" si="18"/>
        <v>155.25318</v>
      </c>
      <c r="R70" s="31" t="e">
        <f ca="1" t="shared" si="19"/>
        <v>#REF!</v>
      </c>
      <c r="S70" s="31">
        <f t="shared" si="20"/>
        <v>5242.685295</v>
      </c>
      <c r="T70" s="31">
        <f t="shared" si="21"/>
        <v>432.932739</v>
      </c>
      <c r="U70" s="31">
        <f t="shared" si="22"/>
        <v>0</v>
      </c>
      <c r="V70" s="31" t="e">
        <f ca="1" t="shared" si="23"/>
        <v>#REF!</v>
      </c>
      <c r="W70" s="31" t="e">
        <f ca="1" t="shared" si="24"/>
        <v>#REF!</v>
      </c>
      <c r="X70" s="31" t="e">
        <f ca="1" t="shared" si="25"/>
        <v>#REF!</v>
      </c>
      <c r="Y70" s="31">
        <f t="shared" si="26"/>
        <v>0</v>
      </c>
      <c r="Z70" s="34" t="e">
        <f ca="1" t="shared" si="27"/>
        <v>#REF!</v>
      </c>
    </row>
    <row r="71" s="3" customFormat="1" customHeight="1" spans="2:26">
      <c r="B71" s="16"/>
      <c r="C71" s="35" t="s">
        <v>293</v>
      </c>
      <c r="D71" s="31">
        <f t="shared" si="14"/>
        <v>6808.763073</v>
      </c>
      <c r="E71" s="31" t="e">
        <f t="shared" si="15"/>
        <v>#REF!</v>
      </c>
      <c r="F71" s="31">
        <f t="shared" si="28"/>
        <v>1.323687</v>
      </c>
      <c r="G71" s="31">
        <f t="shared" si="28"/>
        <v>5797.40686579245</v>
      </c>
      <c r="H71" s="31">
        <f t="shared" si="28"/>
        <v>-0.0606</v>
      </c>
      <c r="I71" s="31">
        <f t="shared" si="28"/>
        <v>2</v>
      </c>
      <c r="J71" s="31">
        <f t="shared" si="28"/>
        <v>0</v>
      </c>
      <c r="K71" s="31">
        <f t="shared" si="16"/>
        <v>0</v>
      </c>
      <c r="L71" s="31">
        <f t="shared" si="9"/>
        <v>0</v>
      </c>
      <c r="M71" s="31" t="e">
        <f t="shared" si="10"/>
        <v>#REF!</v>
      </c>
      <c r="N71" s="31">
        <f t="shared" si="11"/>
        <v>0</v>
      </c>
      <c r="O71" s="31" t="e">
        <f t="shared" si="12"/>
        <v>#REF!</v>
      </c>
      <c r="P71" s="31">
        <f t="shared" si="17"/>
        <v>443.415537</v>
      </c>
      <c r="Q71" s="31">
        <f t="shared" si="18"/>
        <v>69.0047</v>
      </c>
      <c r="R71" s="31" t="e">
        <f t="shared" si="19"/>
        <v>#REF!</v>
      </c>
      <c r="S71" s="31">
        <f t="shared" si="20"/>
        <v>79.15371</v>
      </c>
      <c r="T71" s="31">
        <f t="shared" si="21"/>
        <v>273.170485</v>
      </c>
      <c r="U71" s="31">
        <f t="shared" si="22"/>
        <v>0</v>
      </c>
      <c r="V71" s="31" t="e">
        <f t="shared" si="23"/>
        <v>#REF!</v>
      </c>
      <c r="W71" s="31" t="e">
        <f t="shared" si="24"/>
        <v>#REF!</v>
      </c>
      <c r="X71" s="31" t="e">
        <f t="shared" si="25"/>
        <v>#REF!</v>
      </c>
      <c r="Y71" s="31">
        <f t="shared" si="26"/>
        <v>1.323687</v>
      </c>
      <c r="Z71" s="34" t="e">
        <f t="shared" si="27"/>
        <v>#REF!</v>
      </c>
    </row>
    <row r="72" s="3" customFormat="1" customHeight="1" spans="2:26">
      <c r="B72" s="16"/>
      <c r="C72" s="35" t="s">
        <v>106</v>
      </c>
      <c r="D72" s="31">
        <f t="shared" si="14"/>
        <v>2037.964235</v>
      </c>
      <c r="E72" s="31" t="e">
        <f ca="1" t="shared" si="15"/>
        <v>#REF!</v>
      </c>
      <c r="F72" s="31">
        <f t="shared" si="28"/>
        <v>-453.713816</v>
      </c>
      <c r="G72" s="31">
        <f t="shared" si="28"/>
        <v>1659.405287</v>
      </c>
      <c r="H72" s="31">
        <f t="shared" si="28"/>
        <v>-69.360289</v>
      </c>
      <c r="I72" s="31">
        <f t="shared" si="28"/>
        <v>314.4227973025</v>
      </c>
      <c r="J72" s="31">
        <f t="shared" si="28"/>
        <v>85.799809</v>
      </c>
      <c r="K72" s="31">
        <f t="shared" si="16"/>
        <v>151.966495</v>
      </c>
      <c r="L72" s="31">
        <f t="shared" si="9"/>
        <v>6.7749353025</v>
      </c>
      <c r="M72" s="31" t="e">
        <f ca="1" t="shared" si="10"/>
        <v>#REF!</v>
      </c>
      <c r="N72" s="31">
        <f t="shared" si="11"/>
        <v>0.015578</v>
      </c>
      <c r="O72" s="31" t="e">
        <f ca="1" t="shared" si="12"/>
        <v>#REF!</v>
      </c>
      <c r="P72" s="31">
        <f t="shared" si="17"/>
        <v>510.411752</v>
      </c>
      <c r="Q72" s="31">
        <f t="shared" si="18"/>
        <v>34.876178</v>
      </c>
      <c r="R72" s="31" t="e">
        <f ca="1" t="shared" si="19"/>
        <v>#REF!</v>
      </c>
      <c r="S72" s="31">
        <f t="shared" si="20"/>
        <v>419.840808</v>
      </c>
      <c r="T72" s="31">
        <f t="shared" si="21"/>
        <v>49.990169</v>
      </c>
      <c r="U72" s="31">
        <f t="shared" si="22"/>
        <v>-0.0560700000000001</v>
      </c>
      <c r="V72" s="31" t="e">
        <f ca="1" t="shared" si="23"/>
        <v>#REF!</v>
      </c>
      <c r="W72" s="31" t="e">
        <f ca="1" t="shared" si="24"/>
        <v>#REF!</v>
      </c>
      <c r="X72" s="31" t="e">
        <f ca="1" t="shared" si="25"/>
        <v>#REF!</v>
      </c>
      <c r="Y72" s="31">
        <f t="shared" si="26"/>
        <v>0.000299</v>
      </c>
      <c r="Z72" s="34" t="e">
        <f ca="1" t="shared" si="27"/>
        <v>#REF!</v>
      </c>
    </row>
    <row r="73" s="3" customFormat="1" customHeight="1" spans="2:26">
      <c r="B73" s="16"/>
      <c r="C73" s="35" t="s">
        <v>108</v>
      </c>
      <c r="D73" s="31">
        <f t="shared" si="14"/>
        <v>1406.954386</v>
      </c>
      <c r="E73" s="31" t="e">
        <f ca="1" t="shared" si="15"/>
        <v>#REF!</v>
      </c>
      <c r="F73" s="31">
        <f t="shared" si="28"/>
        <v>20.388532</v>
      </c>
      <c r="G73" s="31">
        <f t="shared" si="28"/>
        <v>1289.262704</v>
      </c>
      <c r="H73" s="31">
        <f t="shared" si="28"/>
        <v>44.221208</v>
      </c>
      <c r="I73" s="31">
        <f t="shared" si="28"/>
        <v>53.081942</v>
      </c>
      <c r="J73" s="31">
        <f t="shared" si="28"/>
        <v>4.833334</v>
      </c>
      <c r="K73" s="31">
        <f t="shared" si="16"/>
        <v>22.340567</v>
      </c>
      <c r="L73" s="31">
        <f t="shared" si="9"/>
        <v>7.566158</v>
      </c>
      <c r="M73" s="31" t="e">
        <f ca="1" t="shared" si="10"/>
        <v>#REF!</v>
      </c>
      <c r="N73" s="31">
        <f t="shared" si="11"/>
        <v>0</v>
      </c>
      <c r="O73" s="31" t="e">
        <f ca="1" t="shared" si="12"/>
        <v>#REF!</v>
      </c>
      <c r="P73" s="31">
        <f t="shared" si="17"/>
        <v>0</v>
      </c>
      <c r="Q73" s="31">
        <f t="shared" si="18"/>
        <v>0</v>
      </c>
      <c r="R73" s="31" t="e">
        <f ca="1" t="shared" si="19"/>
        <v>#REF!</v>
      </c>
      <c r="S73" s="31">
        <f t="shared" si="20"/>
        <v>0</v>
      </c>
      <c r="T73" s="31">
        <f t="shared" si="21"/>
        <v>0</v>
      </c>
      <c r="U73" s="31">
        <f t="shared" si="22"/>
        <v>0</v>
      </c>
      <c r="V73" s="31" t="e">
        <f ca="1" t="shared" si="23"/>
        <v>#REF!</v>
      </c>
      <c r="W73" s="31" t="e">
        <f ca="1" t="shared" si="24"/>
        <v>#REF!</v>
      </c>
      <c r="X73" s="31" t="e">
        <f ca="1" t="shared" si="25"/>
        <v>#REF!</v>
      </c>
      <c r="Y73" s="31">
        <f t="shared" si="26"/>
        <v>0</v>
      </c>
      <c r="Z73" s="34" t="e">
        <f ca="1" t="shared" si="27"/>
        <v>#REF!</v>
      </c>
    </row>
    <row r="74" s="3" customFormat="1" customHeight="1" spans="2:26">
      <c r="B74" s="17"/>
      <c r="C74" s="35" t="s">
        <v>102</v>
      </c>
      <c r="D74" s="31">
        <f t="shared" si="14"/>
        <v>20930.503424</v>
      </c>
      <c r="E74" s="31" t="e">
        <f ca="1" t="shared" si="15"/>
        <v>#REF!</v>
      </c>
      <c r="F74" s="31">
        <f t="shared" si="28"/>
        <v>-324.483879</v>
      </c>
      <c r="G74" s="31">
        <f t="shared" si="28"/>
        <v>11642.4748037925</v>
      </c>
      <c r="H74" s="31">
        <f t="shared" si="28"/>
        <v>245.787771</v>
      </c>
      <c r="I74" s="31">
        <f t="shared" si="28"/>
        <v>369.8447393025</v>
      </c>
      <c r="J74" s="31">
        <f t="shared" si="28"/>
        <v>90.633143</v>
      </c>
      <c r="K74" s="31">
        <f t="shared" si="16"/>
        <v>174.307062</v>
      </c>
      <c r="L74" s="31">
        <f t="shared" si="9"/>
        <v>14.6810933025</v>
      </c>
      <c r="M74" s="31" t="e">
        <f ca="1" t="shared" si="10"/>
        <v>#REF!</v>
      </c>
      <c r="N74" s="31">
        <f t="shared" si="11"/>
        <v>0.015578</v>
      </c>
      <c r="O74" s="31" t="e">
        <f ca="1" t="shared" si="12"/>
        <v>#REF!</v>
      </c>
      <c r="P74" s="31">
        <f t="shared" si="17"/>
        <v>6810.820003</v>
      </c>
      <c r="Q74" s="31">
        <f t="shared" si="18"/>
        <v>259.134058</v>
      </c>
      <c r="R74" s="31" t="e">
        <f ca="1" t="shared" si="19"/>
        <v>#REF!</v>
      </c>
      <c r="S74" s="31">
        <f t="shared" si="20"/>
        <v>5741.679813</v>
      </c>
      <c r="T74" s="31">
        <f t="shared" si="21"/>
        <v>756.093393</v>
      </c>
      <c r="U74" s="31">
        <f t="shared" si="22"/>
        <v>-0.0560700000000001</v>
      </c>
      <c r="V74" s="31" t="e">
        <f ca="1" t="shared" si="23"/>
        <v>#REF!</v>
      </c>
      <c r="W74" s="31" t="e">
        <f ca="1" t="shared" si="24"/>
        <v>#REF!</v>
      </c>
      <c r="X74" s="31" t="e">
        <f ca="1" t="shared" si="25"/>
        <v>#REF!</v>
      </c>
      <c r="Y74" s="31">
        <f t="shared" si="26"/>
        <v>1.323986</v>
      </c>
      <c r="Z74" s="34" t="e">
        <f ca="1" t="shared" si="27"/>
        <v>#REF!</v>
      </c>
    </row>
    <row r="75" s="3" customFormat="1" customHeight="1" spans="2:26">
      <c r="B75" s="18" t="s">
        <v>109</v>
      </c>
      <c r="C75" s="35" t="s">
        <v>110</v>
      </c>
      <c r="D75" s="31">
        <f t="shared" si="14"/>
        <v>2824.718526</v>
      </c>
      <c r="E75" s="31" t="e">
        <f ca="1" t="shared" si="15"/>
        <v>#REF!</v>
      </c>
      <c r="F75" s="31">
        <f t="shared" si="28"/>
        <v>348.207618</v>
      </c>
      <c r="G75" s="31">
        <f t="shared" si="28"/>
        <v>1363.445172</v>
      </c>
      <c r="H75" s="31">
        <f t="shared" si="28"/>
        <v>85.53379</v>
      </c>
      <c r="I75" s="31">
        <f t="shared" si="28"/>
        <v>115.998153</v>
      </c>
      <c r="J75" s="31">
        <f t="shared" si="28"/>
        <v>14.299465</v>
      </c>
      <c r="K75" s="31">
        <f t="shared" si="16"/>
        <v>45.864112</v>
      </c>
      <c r="L75" s="31">
        <f t="shared" si="9"/>
        <v>20.562484</v>
      </c>
      <c r="M75" s="31" t="e">
        <f ca="1" t="shared" si="10"/>
        <v>#REF!</v>
      </c>
      <c r="N75" s="31">
        <f t="shared" si="11"/>
        <v>19.835191</v>
      </c>
      <c r="O75" s="31" t="e">
        <f ca="1" t="shared" si="12"/>
        <v>#REF!</v>
      </c>
      <c r="P75" s="31">
        <f t="shared" si="17"/>
        <v>911.015593</v>
      </c>
      <c r="Q75" s="31">
        <f t="shared" si="18"/>
        <v>81.330443</v>
      </c>
      <c r="R75" s="31" t="e">
        <f ca="1" t="shared" si="19"/>
        <v>#REF!</v>
      </c>
      <c r="S75" s="31">
        <f t="shared" si="20"/>
        <v>595.102926</v>
      </c>
      <c r="T75" s="31">
        <f t="shared" si="21"/>
        <v>152.368397</v>
      </c>
      <c r="U75" s="31">
        <f t="shared" si="22"/>
        <v>37.273303</v>
      </c>
      <c r="V75" s="31" t="e">
        <f ca="1" t="shared" si="23"/>
        <v>#REF!</v>
      </c>
      <c r="W75" s="31" t="e">
        <f ca="1" t="shared" si="24"/>
        <v>#REF!</v>
      </c>
      <c r="X75" s="31" t="e">
        <f ca="1" t="shared" si="25"/>
        <v>#REF!</v>
      </c>
      <c r="Y75" s="31">
        <f t="shared" si="26"/>
        <v>21.005729</v>
      </c>
      <c r="Z75" s="34" t="e">
        <f ca="1" t="shared" si="27"/>
        <v>#REF!</v>
      </c>
    </row>
    <row r="76" s="3" customFormat="1" customHeight="1" spans="2:26">
      <c r="B76" s="19"/>
      <c r="C76" s="35" t="s">
        <v>111</v>
      </c>
      <c r="D76" s="31">
        <f t="shared" si="14"/>
        <v>1730.457067</v>
      </c>
      <c r="E76" s="31" t="e">
        <f ca="1" t="shared" si="15"/>
        <v>#REF!</v>
      </c>
      <c r="F76" s="31">
        <f t="shared" si="28"/>
        <v>315.5608</v>
      </c>
      <c r="G76" s="31">
        <f t="shared" si="28"/>
        <v>318.145369</v>
      </c>
      <c r="H76" s="31">
        <f t="shared" si="28"/>
        <v>51.251687</v>
      </c>
      <c r="I76" s="31">
        <f t="shared" si="28"/>
        <v>93.763935</v>
      </c>
      <c r="J76" s="31">
        <f t="shared" si="28"/>
        <v>11.542951</v>
      </c>
      <c r="K76" s="31">
        <f t="shared" si="16"/>
        <v>37.194145</v>
      </c>
      <c r="L76" s="31">
        <f t="shared" si="9"/>
        <v>18.268213</v>
      </c>
      <c r="M76" s="31" t="e">
        <f ca="1" t="shared" si="10"/>
        <v>#REF!</v>
      </c>
      <c r="N76" s="31">
        <f t="shared" si="11"/>
        <v>17.446859</v>
      </c>
      <c r="O76" s="31" t="e">
        <f ca="1" t="shared" si="12"/>
        <v>#REF!</v>
      </c>
      <c r="P76" s="31">
        <f t="shared" si="17"/>
        <v>946.668076</v>
      </c>
      <c r="Q76" s="31">
        <f t="shared" si="18"/>
        <v>91.464977</v>
      </c>
      <c r="R76" s="31" t="e">
        <f ca="1" t="shared" si="19"/>
        <v>#REF!</v>
      </c>
      <c r="S76" s="31">
        <f t="shared" si="20"/>
        <v>560.564449</v>
      </c>
      <c r="T76" s="31">
        <f t="shared" si="21"/>
        <v>148.032555</v>
      </c>
      <c r="U76" s="31">
        <f t="shared" si="22"/>
        <v>53.136893</v>
      </c>
      <c r="V76" s="31" t="e">
        <f ca="1" t="shared" si="23"/>
        <v>#REF!</v>
      </c>
      <c r="W76" s="31" t="e">
        <f ca="1" t="shared" si="24"/>
        <v>#REF!</v>
      </c>
      <c r="X76" s="31" t="e">
        <f ca="1" t="shared" si="25"/>
        <v>#REF!</v>
      </c>
      <c r="Y76" s="31">
        <f t="shared" si="26"/>
        <v>8.195288</v>
      </c>
      <c r="Z76" s="34" t="e">
        <f ca="1" t="shared" si="27"/>
        <v>#REF!</v>
      </c>
    </row>
    <row r="77" s="3" customFormat="1" customHeight="1" spans="2:26">
      <c r="B77" s="19"/>
      <c r="C77" s="35" t="s">
        <v>124</v>
      </c>
      <c r="D77" s="31">
        <f t="shared" si="14"/>
        <v>421.357585</v>
      </c>
      <c r="E77" s="31" t="e">
        <f ca="1" t="shared" si="15"/>
        <v>#REF!</v>
      </c>
      <c r="F77" s="31">
        <f t="shared" si="28"/>
        <v>116.136653</v>
      </c>
      <c r="G77" s="31">
        <f t="shared" si="28"/>
        <v>279.185791</v>
      </c>
      <c r="H77" s="31">
        <f t="shared" si="28"/>
        <v>4.590683</v>
      </c>
      <c r="I77" s="31">
        <f t="shared" si="28"/>
        <v>13.726477</v>
      </c>
      <c r="J77" s="31">
        <f t="shared" si="28"/>
        <v>2.169654</v>
      </c>
      <c r="K77" s="31">
        <f t="shared" si="16"/>
        <v>4.702685</v>
      </c>
      <c r="L77" s="31">
        <f t="shared" si="9"/>
        <v>2.51483</v>
      </c>
      <c r="M77" s="31" t="e">
        <f ca="1" t="shared" si="10"/>
        <v>#REF!</v>
      </c>
      <c r="N77" s="31">
        <f t="shared" si="11"/>
        <v>3.689051</v>
      </c>
      <c r="O77" s="31" t="e">
        <f ca="1" t="shared" si="12"/>
        <v>#REF!</v>
      </c>
      <c r="P77" s="31">
        <f t="shared" si="17"/>
        <v>7.717981</v>
      </c>
      <c r="Q77" s="31">
        <f t="shared" si="18"/>
        <v>0</v>
      </c>
      <c r="R77" s="31" t="e">
        <f ca="1" t="shared" si="19"/>
        <v>#REF!</v>
      </c>
      <c r="S77" s="31">
        <f t="shared" si="20"/>
        <v>4.758301</v>
      </c>
      <c r="T77" s="31">
        <f t="shared" si="21"/>
        <v>2.95968</v>
      </c>
      <c r="U77" s="31">
        <f t="shared" si="22"/>
        <v>1.275119</v>
      </c>
      <c r="V77" s="31" t="e">
        <f ca="1" t="shared" si="23"/>
        <v>#REF!</v>
      </c>
      <c r="W77" s="31" t="e">
        <f ca="1" t="shared" si="24"/>
        <v>#REF!</v>
      </c>
      <c r="X77" s="31" t="e">
        <f ca="1" t="shared" si="25"/>
        <v>#REF!</v>
      </c>
      <c r="Y77" s="31">
        <f t="shared" si="26"/>
        <v>5.127386</v>
      </c>
      <c r="Z77" s="34" t="e">
        <f ca="1" t="shared" si="27"/>
        <v>#REF!</v>
      </c>
    </row>
    <row r="78" s="3" customFormat="1" customHeight="1" spans="2:26">
      <c r="B78" s="19"/>
      <c r="C78" s="35" t="s">
        <v>125</v>
      </c>
      <c r="D78" s="31">
        <f t="shared" si="14"/>
        <v>442.53596</v>
      </c>
      <c r="E78" s="31" t="e">
        <f ca="1" t="shared" si="15"/>
        <v>#REF!</v>
      </c>
      <c r="F78" s="31">
        <f t="shared" si="28"/>
        <v>145.810426</v>
      </c>
      <c r="G78" s="31">
        <f t="shared" si="28"/>
        <v>239.899836</v>
      </c>
      <c r="H78" s="31">
        <f t="shared" si="28"/>
        <v>9.898042</v>
      </c>
      <c r="I78" s="31">
        <f t="shared" si="28"/>
        <v>20.664786</v>
      </c>
      <c r="J78" s="31">
        <f t="shared" si="28"/>
        <v>3.227505</v>
      </c>
      <c r="K78" s="31">
        <f t="shared" si="16"/>
        <v>7.206769</v>
      </c>
      <c r="L78" s="31">
        <f t="shared" si="9"/>
        <v>2.850791</v>
      </c>
      <c r="M78" s="31" t="e">
        <f ca="1" t="shared" si="10"/>
        <v>#REF!</v>
      </c>
      <c r="N78" s="31">
        <f t="shared" si="11"/>
        <v>18.987943</v>
      </c>
      <c r="O78" s="31" t="e">
        <f ca="1" t="shared" si="12"/>
        <v>#REF!</v>
      </c>
      <c r="P78" s="31">
        <f t="shared" si="17"/>
        <v>26.26287</v>
      </c>
      <c r="Q78" s="31">
        <f t="shared" si="18"/>
        <v>6.942473</v>
      </c>
      <c r="R78" s="31" t="e">
        <f ca="1" t="shared" si="19"/>
        <v>#REF!</v>
      </c>
      <c r="S78" s="31">
        <f t="shared" si="20"/>
        <v>10.628655</v>
      </c>
      <c r="T78" s="31">
        <f t="shared" si="21"/>
        <v>5.499516</v>
      </c>
      <c r="U78" s="31">
        <f t="shared" si="22"/>
        <v>5.523933</v>
      </c>
      <c r="V78" s="31" t="e">
        <f ca="1" t="shared" si="23"/>
        <v>#REF!</v>
      </c>
      <c r="W78" s="31" t="e">
        <f ca="1" t="shared" si="24"/>
        <v>#REF!</v>
      </c>
      <c r="X78" s="31" t="e">
        <f ca="1" t="shared" si="25"/>
        <v>#REF!</v>
      </c>
      <c r="Y78" s="31">
        <f t="shared" si="26"/>
        <v>15.640811</v>
      </c>
      <c r="Z78" s="34" t="e">
        <f ca="1" t="shared" si="27"/>
        <v>#REF!</v>
      </c>
    </row>
    <row r="79" s="3" customFormat="1" customHeight="1" spans="2:26">
      <c r="B79" s="19"/>
      <c r="C79" s="35" t="s">
        <v>112</v>
      </c>
      <c r="D79" s="31">
        <f t="shared" si="14"/>
        <v>544.515472</v>
      </c>
      <c r="E79" s="31" t="e">
        <f ca="1" t="shared" si="15"/>
        <v>#REF!</v>
      </c>
      <c r="F79" s="31">
        <f t="shared" si="28"/>
        <v>176.719007</v>
      </c>
      <c r="G79" s="31">
        <f t="shared" si="28"/>
        <v>232.991385</v>
      </c>
      <c r="H79" s="31">
        <f t="shared" si="28"/>
        <v>11.304676</v>
      </c>
      <c r="I79" s="31">
        <f t="shared" si="28"/>
        <v>8.260036</v>
      </c>
      <c r="J79" s="31">
        <f t="shared" si="28"/>
        <v>0.77217</v>
      </c>
      <c r="K79" s="31">
        <f t="shared" si="16"/>
        <v>2.76798</v>
      </c>
      <c r="L79" s="31">
        <f t="shared" si="9"/>
        <v>2.592288</v>
      </c>
      <c r="M79" s="31" t="e">
        <f ca="1" t="shared" si="10"/>
        <v>#REF!</v>
      </c>
      <c r="N79" s="31">
        <f t="shared" si="11"/>
        <v>0.50586</v>
      </c>
      <c r="O79" s="31" t="e">
        <f ca="1" t="shared" si="12"/>
        <v>#REF!</v>
      </c>
      <c r="P79" s="31">
        <f t="shared" si="17"/>
        <v>115.240368</v>
      </c>
      <c r="Q79" s="31">
        <f t="shared" si="18"/>
        <v>13.909941</v>
      </c>
      <c r="R79" s="31" t="e">
        <f ca="1" t="shared" si="19"/>
        <v>#REF!</v>
      </c>
      <c r="S79" s="31">
        <f t="shared" si="20"/>
        <v>70.9392</v>
      </c>
      <c r="T79" s="31">
        <f t="shared" si="21"/>
        <v>24.56592</v>
      </c>
      <c r="U79" s="31">
        <f t="shared" si="22"/>
        <v>9.892742</v>
      </c>
      <c r="V79" s="31" t="e">
        <f ca="1" t="shared" si="23"/>
        <v>#REF!</v>
      </c>
      <c r="W79" s="31" t="e">
        <f ca="1" t="shared" si="24"/>
        <v>#REF!</v>
      </c>
      <c r="X79" s="31" t="e">
        <f ca="1" t="shared" si="25"/>
        <v>#REF!</v>
      </c>
      <c r="Y79" s="31">
        <f t="shared" si="26"/>
        <v>4.297575</v>
      </c>
      <c r="Z79" s="34" t="e">
        <f ca="1" t="shared" si="27"/>
        <v>#REF!</v>
      </c>
    </row>
    <row r="80" s="3" customFormat="1" customHeight="1" spans="2:26">
      <c r="B80" s="19"/>
      <c r="C80" s="35" t="s">
        <v>113</v>
      </c>
      <c r="D80" s="31">
        <f t="shared" si="14"/>
        <v>248.462805</v>
      </c>
      <c r="E80" s="31" t="e">
        <f ca="1" t="shared" si="15"/>
        <v>#REF!</v>
      </c>
      <c r="F80" s="31">
        <f t="shared" ref="F80:J89" si="29">F22</f>
        <v>59.755657</v>
      </c>
      <c r="G80" s="31">
        <f t="shared" si="29"/>
        <v>131.799101</v>
      </c>
      <c r="H80" s="31">
        <f t="shared" si="29"/>
        <v>2.409414</v>
      </c>
      <c r="I80" s="31">
        <f t="shared" si="29"/>
        <v>1.694114</v>
      </c>
      <c r="J80" s="31">
        <f t="shared" si="29"/>
        <v>0.246631</v>
      </c>
      <c r="K80" s="31">
        <f t="shared" si="16"/>
        <v>0.143721</v>
      </c>
      <c r="L80" s="31">
        <f t="shared" si="9"/>
        <v>0.630598</v>
      </c>
      <c r="M80" s="31" t="e">
        <f ca="1" t="shared" si="10"/>
        <v>#REF!</v>
      </c>
      <c r="N80" s="31">
        <f t="shared" si="11"/>
        <v>0.767736</v>
      </c>
      <c r="O80" s="31" t="e">
        <f ca="1" t="shared" si="12"/>
        <v>#REF!</v>
      </c>
      <c r="P80" s="31">
        <f t="shared" si="17"/>
        <v>52.804519</v>
      </c>
      <c r="Q80" s="31">
        <f t="shared" si="18"/>
        <v>4.486964</v>
      </c>
      <c r="R80" s="31" t="e">
        <f ca="1" t="shared" si="19"/>
        <v>#REF!</v>
      </c>
      <c r="S80" s="31">
        <f t="shared" si="20"/>
        <v>33.103337</v>
      </c>
      <c r="T80" s="31">
        <f t="shared" si="21"/>
        <v>14.036623</v>
      </c>
      <c r="U80" s="31">
        <f t="shared" si="22"/>
        <v>4.320891</v>
      </c>
      <c r="V80" s="31" t="e">
        <f ca="1" t="shared" si="23"/>
        <v>#REF!</v>
      </c>
      <c r="W80" s="31" t="e">
        <f ca="1" t="shared" si="24"/>
        <v>#REF!</v>
      </c>
      <c r="X80" s="31" t="e">
        <f ca="1" t="shared" si="25"/>
        <v>#REF!</v>
      </c>
      <c r="Y80" s="31">
        <f t="shared" si="26"/>
        <v>2.837002</v>
      </c>
      <c r="Z80" s="34" t="e">
        <f ca="1" t="shared" si="27"/>
        <v>#REF!</v>
      </c>
    </row>
    <row r="81" s="3" customFormat="1" customHeight="1" spans="2:26">
      <c r="B81" s="19"/>
      <c r="C81" s="30" t="s">
        <v>95</v>
      </c>
      <c r="D81" s="31">
        <f t="shared" si="14"/>
        <v>524.82459</v>
      </c>
      <c r="E81" s="31" t="e">
        <f ca="1" t="shared" si="15"/>
        <v>#REF!</v>
      </c>
      <c r="F81" s="31">
        <f t="shared" si="29"/>
        <v>90.266709</v>
      </c>
      <c r="G81" s="31">
        <f t="shared" si="29"/>
        <v>247.792382</v>
      </c>
      <c r="H81" s="31">
        <f t="shared" si="29"/>
        <v>11.521228</v>
      </c>
      <c r="I81" s="31">
        <f t="shared" si="29"/>
        <v>21.567932</v>
      </c>
      <c r="J81" s="31">
        <f t="shared" si="29"/>
        <v>2.354</v>
      </c>
      <c r="K81" s="31">
        <f t="shared" si="16"/>
        <v>9.067908</v>
      </c>
      <c r="L81" s="31">
        <f t="shared" si="9"/>
        <v>3.479824</v>
      </c>
      <c r="M81" s="31" t="e">
        <f ca="1" t="shared" si="10"/>
        <v>#REF!</v>
      </c>
      <c r="N81" s="31">
        <f t="shared" si="11"/>
        <v>2.662439</v>
      </c>
      <c r="O81" s="31" t="e">
        <f ca="1" t="shared" si="12"/>
        <v>#REF!</v>
      </c>
      <c r="P81" s="31">
        <f t="shared" si="17"/>
        <v>153.676339</v>
      </c>
      <c r="Q81" s="31">
        <f t="shared" si="18"/>
        <v>8.977936</v>
      </c>
      <c r="R81" s="31" t="e">
        <f ca="1" t="shared" si="19"/>
        <v>#REF!</v>
      </c>
      <c r="S81" s="31">
        <f t="shared" si="20"/>
        <v>115.870588</v>
      </c>
      <c r="T81" s="31">
        <f t="shared" si="21"/>
        <v>24.133791</v>
      </c>
      <c r="U81" s="31">
        <f t="shared" si="22"/>
        <v>6.037062</v>
      </c>
      <c r="V81" s="31" t="e">
        <f ca="1" t="shared" si="23"/>
        <v>#REF!</v>
      </c>
      <c r="W81" s="31" t="e">
        <f ca="1" t="shared" si="24"/>
        <v>#REF!</v>
      </c>
      <c r="X81" s="31" t="e">
        <f ca="1" t="shared" si="25"/>
        <v>#REF!</v>
      </c>
      <c r="Y81" s="31">
        <f t="shared" si="26"/>
        <v>7.542714</v>
      </c>
      <c r="Z81" s="34" t="e">
        <f ca="1" t="shared" si="27"/>
        <v>#REF!</v>
      </c>
    </row>
    <row r="82" s="3" customFormat="1" customHeight="1" spans="2:26">
      <c r="B82" s="19"/>
      <c r="C82" s="35" t="s">
        <v>126</v>
      </c>
      <c r="D82" s="31">
        <f t="shared" si="14"/>
        <v>256.021542</v>
      </c>
      <c r="E82" s="31" t="e">
        <f ca="1" t="shared" si="15"/>
        <v>#REF!</v>
      </c>
      <c r="F82" s="31">
        <f t="shared" si="29"/>
        <v>231.465762</v>
      </c>
      <c r="G82" s="31">
        <f t="shared" si="29"/>
        <v>0</v>
      </c>
      <c r="H82" s="31">
        <f t="shared" si="29"/>
        <v>0</v>
      </c>
      <c r="I82" s="31">
        <f t="shared" si="29"/>
        <v>0</v>
      </c>
      <c r="J82" s="31">
        <f t="shared" si="29"/>
        <v>0</v>
      </c>
      <c r="K82" s="31">
        <f t="shared" si="16"/>
        <v>0</v>
      </c>
      <c r="L82" s="31">
        <f t="shared" si="9"/>
        <v>0</v>
      </c>
      <c r="M82" s="31" t="e">
        <f ca="1" t="shared" si="10"/>
        <v>#REF!</v>
      </c>
      <c r="N82" s="31">
        <f t="shared" si="11"/>
        <v>0</v>
      </c>
      <c r="O82" s="31" t="e">
        <f ca="1" t="shared" si="12"/>
        <v>#REF!</v>
      </c>
      <c r="P82" s="31">
        <f t="shared" si="17"/>
        <v>24.55578</v>
      </c>
      <c r="Q82" s="31">
        <f t="shared" si="18"/>
        <v>0</v>
      </c>
      <c r="R82" s="31" t="e">
        <f ca="1" t="shared" si="19"/>
        <v>#REF!</v>
      </c>
      <c r="S82" s="31">
        <f t="shared" si="20"/>
        <v>24.55578</v>
      </c>
      <c r="T82" s="31">
        <f t="shared" si="21"/>
        <v>0</v>
      </c>
      <c r="U82" s="31">
        <f t="shared" si="22"/>
        <v>0</v>
      </c>
      <c r="V82" s="31" t="e">
        <f ca="1" t="shared" si="23"/>
        <v>#REF!</v>
      </c>
      <c r="W82" s="31" t="e">
        <f ca="1" t="shared" si="24"/>
        <v>#REF!</v>
      </c>
      <c r="X82" s="31" t="e">
        <f ca="1" t="shared" si="25"/>
        <v>#REF!</v>
      </c>
      <c r="Y82" s="31">
        <f t="shared" si="26"/>
        <v>0</v>
      </c>
      <c r="Z82" s="34" t="e">
        <f ca="1" t="shared" si="27"/>
        <v>#REF!</v>
      </c>
    </row>
    <row r="83" s="3" customFormat="1" customHeight="1" spans="2:26">
      <c r="B83" s="19"/>
      <c r="C83" s="35" t="s">
        <v>114</v>
      </c>
      <c r="D83" s="31">
        <f t="shared" si="14"/>
        <v>551.875013</v>
      </c>
      <c r="E83" s="31" t="e">
        <f ca="1" t="shared" si="15"/>
        <v>#REF!</v>
      </c>
      <c r="F83" s="31">
        <f t="shared" si="29"/>
        <v>273.23921</v>
      </c>
      <c r="G83" s="31">
        <f t="shared" si="29"/>
        <v>278.533916</v>
      </c>
      <c r="H83" s="31">
        <f t="shared" si="29"/>
        <v>0</v>
      </c>
      <c r="I83" s="31">
        <f t="shared" si="29"/>
        <v>0.000755</v>
      </c>
      <c r="J83" s="31">
        <f t="shared" si="29"/>
        <v>0</v>
      </c>
      <c r="K83" s="31">
        <f t="shared" si="16"/>
        <v>0.000755</v>
      </c>
      <c r="L83" s="31">
        <f t="shared" si="9"/>
        <v>0</v>
      </c>
      <c r="M83" s="31" t="e">
        <f ca="1" t="shared" si="10"/>
        <v>#REF!</v>
      </c>
      <c r="N83" s="31">
        <f t="shared" si="11"/>
        <v>0.113208</v>
      </c>
      <c r="O83" s="31" t="e">
        <f ca="1" t="shared" si="12"/>
        <v>#REF!</v>
      </c>
      <c r="P83" s="31">
        <f t="shared" si="17"/>
        <v>0.101132</v>
      </c>
      <c r="Q83" s="31">
        <f t="shared" si="18"/>
        <v>0.02717</v>
      </c>
      <c r="R83" s="31" t="e">
        <f ca="1" t="shared" si="19"/>
        <v>#REF!</v>
      </c>
      <c r="S83" s="31">
        <f t="shared" si="20"/>
        <v>0.038491</v>
      </c>
      <c r="T83" s="31">
        <f t="shared" si="21"/>
        <v>0.028679</v>
      </c>
      <c r="U83" s="31">
        <f t="shared" si="22"/>
        <v>0.011321</v>
      </c>
      <c r="V83" s="31" t="e">
        <f ca="1" t="shared" si="23"/>
        <v>#REF!</v>
      </c>
      <c r="W83" s="31" t="e">
        <f ca="1" t="shared" si="24"/>
        <v>#REF!</v>
      </c>
      <c r="X83" s="31" t="e">
        <f ca="1" t="shared" si="25"/>
        <v>#REF!</v>
      </c>
      <c r="Y83" s="31">
        <f t="shared" si="26"/>
        <v>0.116075</v>
      </c>
      <c r="Z83" s="34" t="e">
        <f ca="1" t="shared" si="27"/>
        <v>#REF!</v>
      </c>
    </row>
    <row r="84" s="3" customFormat="1" customHeight="1" spans="2:26">
      <c r="B84" s="19"/>
      <c r="C84" s="35" t="s">
        <v>121</v>
      </c>
      <c r="D84" s="31">
        <f t="shared" si="14"/>
        <v>704.313727</v>
      </c>
      <c r="E84" s="31" t="e">
        <f ca="1" t="shared" si="15"/>
        <v>#REF!</v>
      </c>
      <c r="F84" s="31">
        <f t="shared" si="29"/>
        <v>0</v>
      </c>
      <c r="G84" s="31">
        <f t="shared" si="29"/>
        <v>704.313727</v>
      </c>
      <c r="H84" s="31">
        <f t="shared" si="29"/>
        <v>0</v>
      </c>
      <c r="I84" s="31">
        <f t="shared" si="29"/>
        <v>0</v>
      </c>
      <c r="J84" s="31">
        <f t="shared" si="29"/>
        <v>0</v>
      </c>
      <c r="K84" s="31">
        <f t="shared" si="16"/>
        <v>0</v>
      </c>
      <c r="L84" s="31">
        <f t="shared" si="9"/>
        <v>0</v>
      </c>
      <c r="M84" s="31" t="e">
        <f ca="1" t="shared" si="10"/>
        <v>#REF!</v>
      </c>
      <c r="N84" s="31">
        <f t="shared" si="11"/>
        <v>0</v>
      </c>
      <c r="O84" s="31" t="e">
        <f ca="1" t="shared" si="12"/>
        <v>#REF!</v>
      </c>
      <c r="P84" s="31">
        <f t="shared" si="17"/>
        <v>0</v>
      </c>
      <c r="Q84" s="31">
        <f t="shared" si="18"/>
        <v>0</v>
      </c>
      <c r="R84" s="31" t="e">
        <f ca="1" t="shared" si="19"/>
        <v>#REF!</v>
      </c>
      <c r="S84" s="31">
        <f t="shared" si="20"/>
        <v>0</v>
      </c>
      <c r="T84" s="31">
        <f t="shared" si="21"/>
        <v>0</v>
      </c>
      <c r="U84" s="31">
        <f t="shared" si="22"/>
        <v>0</v>
      </c>
      <c r="V84" s="31" t="e">
        <f ca="1" t="shared" si="23"/>
        <v>#REF!</v>
      </c>
      <c r="W84" s="31" t="e">
        <f ca="1" t="shared" si="24"/>
        <v>#REF!</v>
      </c>
      <c r="X84" s="31" t="e">
        <f ca="1" t="shared" si="25"/>
        <v>#REF!</v>
      </c>
      <c r="Y84" s="31">
        <f t="shared" si="26"/>
        <v>0</v>
      </c>
      <c r="Z84" s="34" t="e">
        <f ca="1" t="shared" si="27"/>
        <v>#REF!</v>
      </c>
    </row>
    <row r="85" s="3" customFormat="1" customHeight="1" spans="2:26">
      <c r="B85" s="19"/>
      <c r="C85" s="35" t="s">
        <v>115</v>
      </c>
      <c r="D85" s="31">
        <f t="shared" si="14"/>
        <v>527.612238</v>
      </c>
      <c r="E85" s="31" t="e">
        <f ca="1" t="shared" si="15"/>
        <v>#REF!</v>
      </c>
      <c r="F85" s="31">
        <f t="shared" si="29"/>
        <v>114.443119</v>
      </c>
      <c r="G85" s="31">
        <f t="shared" si="29"/>
        <v>223.821402</v>
      </c>
      <c r="H85" s="31">
        <f t="shared" si="29"/>
        <v>54.952831</v>
      </c>
      <c r="I85" s="31">
        <f t="shared" si="29"/>
        <v>29.520968</v>
      </c>
      <c r="J85" s="31">
        <f t="shared" si="29"/>
        <v>9.823354</v>
      </c>
      <c r="K85" s="31">
        <f t="shared" si="16"/>
        <v>11.568006</v>
      </c>
      <c r="L85" s="31">
        <f t="shared" si="9"/>
        <v>0.83526</v>
      </c>
      <c r="M85" s="31" t="e">
        <f ca="1" t="shared" si="10"/>
        <v>#REF!</v>
      </c>
      <c r="N85" s="31">
        <f t="shared" si="11"/>
        <v>0.7296</v>
      </c>
      <c r="O85" s="31" t="e">
        <f ca="1" t="shared" si="12"/>
        <v>#REF!</v>
      </c>
      <c r="P85" s="31">
        <f t="shared" si="17"/>
        <v>23.32052</v>
      </c>
      <c r="Q85" s="31">
        <f t="shared" si="18"/>
        <v>20.40212</v>
      </c>
      <c r="R85" s="31" t="e">
        <f ca="1" t="shared" si="19"/>
        <v>#REF!</v>
      </c>
      <c r="S85" s="31">
        <f t="shared" si="20"/>
        <v>1.4592</v>
      </c>
      <c r="T85" s="31">
        <f t="shared" si="21"/>
        <v>1.4592</v>
      </c>
      <c r="U85" s="31">
        <f t="shared" si="22"/>
        <v>1.4592</v>
      </c>
      <c r="V85" s="31" t="e">
        <f ca="1" t="shared" si="23"/>
        <v>#REF!</v>
      </c>
      <c r="W85" s="31" t="e">
        <f ca="1" t="shared" si="24"/>
        <v>#REF!</v>
      </c>
      <c r="X85" s="31" t="e">
        <f ca="1" t="shared" si="25"/>
        <v>#REF!</v>
      </c>
      <c r="Y85" s="31">
        <f t="shared" si="26"/>
        <v>0</v>
      </c>
      <c r="Z85" s="34" t="e">
        <f ca="1" t="shared" si="27"/>
        <v>#REF!</v>
      </c>
    </row>
    <row r="86" s="3" customFormat="1" customHeight="1" spans="2:26">
      <c r="B86" s="19"/>
      <c r="C86" s="35" t="s">
        <v>127</v>
      </c>
      <c r="D86" s="31">
        <f t="shared" si="14"/>
        <v>257.023835</v>
      </c>
      <c r="E86" s="31" t="e">
        <f ca="1" t="shared" si="15"/>
        <v>#REF!</v>
      </c>
      <c r="F86" s="31">
        <f t="shared" si="29"/>
        <v>37.938801</v>
      </c>
      <c r="G86" s="31">
        <f t="shared" si="29"/>
        <v>208.666627</v>
      </c>
      <c r="H86" s="31">
        <f t="shared" si="29"/>
        <v>2.551285</v>
      </c>
      <c r="I86" s="31">
        <f t="shared" si="29"/>
        <v>7.867122</v>
      </c>
      <c r="J86" s="31">
        <f t="shared" si="29"/>
        <v>1.204555</v>
      </c>
      <c r="K86" s="31">
        <f t="shared" si="16"/>
        <v>2.729007</v>
      </c>
      <c r="L86" s="31">
        <f t="shared" si="9"/>
        <v>1.524452</v>
      </c>
      <c r="M86" s="31" t="e">
        <f ca="1" t="shared" si="10"/>
        <v>#REF!</v>
      </c>
      <c r="N86" s="31">
        <f t="shared" si="11"/>
        <v>1.524448</v>
      </c>
      <c r="O86" s="31" t="e">
        <f ca="1" t="shared" si="12"/>
        <v>#REF!</v>
      </c>
      <c r="P86" s="31">
        <f t="shared" si="17"/>
        <v>0</v>
      </c>
      <c r="Q86" s="31">
        <f t="shared" si="18"/>
        <v>0</v>
      </c>
      <c r="R86" s="31" t="e">
        <f ca="1" t="shared" si="19"/>
        <v>#REF!</v>
      </c>
      <c r="S86" s="31">
        <f t="shared" si="20"/>
        <v>0</v>
      </c>
      <c r="T86" s="31">
        <f t="shared" si="21"/>
        <v>0</v>
      </c>
      <c r="U86" s="31">
        <f t="shared" si="22"/>
        <v>0</v>
      </c>
      <c r="V86" s="31" t="e">
        <f ca="1" t="shared" si="23"/>
        <v>#REF!</v>
      </c>
      <c r="W86" s="31" t="e">
        <f ca="1" t="shared" si="24"/>
        <v>#REF!</v>
      </c>
      <c r="X86" s="31" t="e">
        <f ca="1" t="shared" si="25"/>
        <v>#REF!</v>
      </c>
      <c r="Y86" s="31">
        <f t="shared" si="26"/>
        <v>2.021643</v>
      </c>
      <c r="Z86" s="34" t="e">
        <f ca="1" t="shared" si="27"/>
        <v>#REF!</v>
      </c>
    </row>
    <row r="87" s="3" customFormat="1" customHeight="1" spans="2:26">
      <c r="B87" s="19"/>
      <c r="C87" s="35" t="s">
        <v>116</v>
      </c>
      <c r="D87" s="31">
        <f t="shared" si="14"/>
        <v>314.781066</v>
      </c>
      <c r="E87" s="31" t="e">
        <f ca="1" t="shared" si="15"/>
        <v>#REF!</v>
      </c>
      <c r="F87" s="31">
        <f t="shared" si="29"/>
        <v>142.078944</v>
      </c>
      <c r="G87" s="31">
        <f t="shared" si="29"/>
        <v>112.039897</v>
      </c>
      <c r="H87" s="31">
        <f t="shared" si="29"/>
        <v>6.657418</v>
      </c>
      <c r="I87" s="31">
        <f t="shared" si="29"/>
        <v>22.547393</v>
      </c>
      <c r="J87" s="31">
        <f t="shared" si="29"/>
        <v>6.999547</v>
      </c>
      <c r="K87" s="31">
        <f t="shared" si="16"/>
        <v>0</v>
      </c>
      <c r="L87" s="31">
        <f t="shared" si="9"/>
        <v>0</v>
      </c>
      <c r="M87" s="31" t="e">
        <f ca="1" t="shared" si="10"/>
        <v>#REF!</v>
      </c>
      <c r="N87" s="31">
        <f t="shared" si="11"/>
        <v>0</v>
      </c>
      <c r="O87" s="31" t="e">
        <f ca="1" t="shared" si="12"/>
        <v>#REF!</v>
      </c>
      <c r="P87" s="31">
        <f t="shared" si="17"/>
        <v>31.457414</v>
      </c>
      <c r="Q87" s="31">
        <f t="shared" si="18"/>
        <v>5.694235</v>
      </c>
      <c r="R87" s="31" t="e">
        <f ca="1" t="shared" si="19"/>
        <v>#REF!</v>
      </c>
      <c r="S87" s="31">
        <f t="shared" si="20"/>
        <v>17.807936</v>
      </c>
      <c r="T87" s="31">
        <f t="shared" si="21"/>
        <v>6.531684</v>
      </c>
      <c r="U87" s="31">
        <f t="shared" si="22"/>
        <v>3.477351</v>
      </c>
      <c r="V87" s="31" t="e">
        <f ca="1" t="shared" si="23"/>
        <v>#REF!</v>
      </c>
      <c r="W87" s="31" t="e">
        <f ca="1" t="shared" si="24"/>
        <v>#REF!</v>
      </c>
      <c r="X87" s="31" t="e">
        <f ca="1" t="shared" si="25"/>
        <v>#REF!</v>
      </c>
      <c r="Y87" s="31">
        <f t="shared" si="26"/>
        <v>3.729442</v>
      </c>
      <c r="Z87" s="34" t="e">
        <f ca="1" t="shared" si="27"/>
        <v>#REF!</v>
      </c>
    </row>
    <row r="88" s="3" customFormat="1" customHeight="1" spans="2:26">
      <c r="B88" s="19"/>
      <c r="C88" s="35" t="s">
        <v>117</v>
      </c>
      <c r="D88" s="31">
        <f t="shared" si="14"/>
        <v>109.034272</v>
      </c>
      <c r="E88" s="31" t="e">
        <f ca="1" t="shared" si="15"/>
        <v>#REF!</v>
      </c>
      <c r="F88" s="31">
        <f t="shared" si="29"/>
        <v>21.392284</v>
      </c>
      <c r="G88" s="31">
        <f t="shared" si="29"/>
        <v>53.297238</v>
      </c>
      <c r="H88" s="31">
        <f t="shared" si="29"/>
        <v>0.494958</v>
      </c>
      <c r="I88" s="31">
        <f t="shared" si="29"/>
        <v>1.105208</v>
      </c>
      <c r="J88" s="31">
        <f t="shared" si="29"/>
        <v>0.169434</v>
      </c>
      <c r="K88" s="31">
        <f t="shared" si="16"/>
        <v>0.394808</v>
      </c>
      <c r="L88" s="31">
        <f t="shared" si="9"/>
        <v>0.1386</v>
      </c>
      <c r="M88" s="31" t="e">
        <f ca="1" t="shared" si="10"/>
        <v>#REF!</v>
      </c>
      <c r="N88" s="31">
        <f t="shared" si="11"/>
        <v>0.756241</v>
      </c>
      <c r="O88" s="31" t="e">
        <f ca="1" t="shared" si="12"/>
        <v>#REF!</v>
      </c>
      <c r="P88" s="31">
        <f t="shared" si="17"/>
        <v>32.744584</v>
      </c>
      <c r="Q88" s="31">
        <f t="shared" si="18"/>
        <v>1.494302</v>
      </c>
      <c r="R88" s="31" t="e">
        <f ca="1" t="shared" si="19"/>
        <v>#REF!</v>
      </c>
      <c r="S88" s="31">
        <f t="shared" si="20"/>
        <v>23.829478</v>
      </c>
      <c r="T88" s="31">
        <f t="shared" si="21"/>
        <v>5.915063</v>
      </c>
      <c r="U88" s="31">
        <f t="shared" si="22"/>
        <v>3.475728</v>
      </c>
      <c r="V88" s="31" t="e">
        <f ca="1" t="shared" si="23"/>
        <v>#REF!</v>
      </c>
      <c r="W88" s="31" t="e">
        <f ca="1" t="shared" si="24"/>
        <v>#REF!</v>
      </c>
      <c r="X88" s="31" t="e">
        <f ca="1" t="shared" si="25"/>
        <v>#REF!</v>
      </c>
      <c r="Y88" s="31">
        <f t="shared" si="26"/>
        <v>0.179975</v>
      </c>
      <c r="Z88" s="34" t="e">
        <f ca="1" t="shared" si="27"/>
        <v>#REF!</v>
      </c>
    </row>
    <row r="89" s="3" customFormat="1" customHeight="1" spans="2:26">
      <c r="B89" s="19"/>
      <c r="C89" s="35" t="s">
        <v>120</v>
      </c>
      <c r="D89" s="31">
        <f t="shared" si="14"/>
        <v>315.080729</v>
      </c>
      <c r="E89" s="31" t="e">
        <f ca="1" t="shared" si="15"/>
        <v>#REF!</v>
      </c>
      <c r="F89" s="31">
        <f t="shared" si="29"/>
        <v>79.435225</v>
      </c>
      <c r="G89" s="31">
        <f t="shared" si="29"/>
        <v>236.249694</v>
      </c>
      <c r="H89" s="31">
        <f t="shared" si="29"/>
        <v>3.33383</v>
      </c>
      <c r="I89" s="31">
        <f t="shared" si="29"/>
        <v>-1.00052</v>
      </c>
      <c r="J89" s="31">
        <f t="shared" si="29"/>
        <v>0.88753</v>
      </c>
      <c r="K89" s="31">
        <f t="shared" si="16"/>
        <v>-1.373904</v>
      </c>
      <c r="L89" s="31">
        <f t="shared" si="9"/>
        <v>-0.9166</v>
      </c>
      <c r="M89" s="31" t="e">
        <f ca="1" t="shared" si="10"/>
        <v>#REF!</v>
      </c>
      <c r="N89" s="31">
        <f t="shared" si="11"/>
        <v>14.254783</v>
      </c>
      <c r="O89" s="31" t="e">
        <f ca="1" t="shared" si="12"/>
        <v>#REF!</v>
      </c>
      <c r="P89" s="31">
        <f t="shared" si="17"/>
        <v>-0.2289</v>
      </c>
      <c r="Q89" s="31">
        <f t="shared" si="18"/>
        <v>-0.999</v>
      </c>
      <c r="R89" s="31" t="e">
        <f ca="1" t="shared" si="19"/>
        <v>#REF!</v>
      </c>
      <c r="S89" s="31">
        <f t="shared" si="20"/>
        <v>0.0257</v>
      </c>
      <c r="T89" s="31">
        <f t="shared" si="21"/>
        <v>0.3854</v>
      </c>
      <c r="U89" s="31">
        <f t="shared" si="22"/>
        <v>1.477568</v>
      </c>
      <c r="V89" s="31" t="e">
        <f ca="1" t="shared" si="23"/>
        <v>#REF!</v>
      </c>
      <c r="W89" s="31" t="e">
        <f ca="1" t="shared" si="24"/>
        <v>#REF!</v>
      </c>
      <c r="X89" s="31" t="e">
        <f ca="1" t="shared" si="25"/>
        <v>#REF!</v>
      </c>
      <c r="Y89" s="31">
        <f t="shared" si="26"/>
        <v>0</v>
      </c>
      <c r="Z89" s="34" t="e">
        <f ca="1" t="shared" si="27"/>
        <v>#REF!</v>
      </c>
    </row>
    <row r="90" s="3" customFormat="1" customHeight="1" spans="2:26">
      <c r="B90" s="19"/>
      <c r="C90" s="35" t="s">
        <v>128</v>
      </c>
      <c r="D90" s="31">
        <f t="shared" si="14"/>
        <v>24.524057</v>
      </c>
      <c r="E90" s="31" t="e">
        <f ca="1" t="shared" si="15"/>
        <v>#REF!</v>
      </c>
      <c r="F90" s="31">
        <f t="shared" ref="F90:J99" si="30">F32</f>
        <v>24.524057</v>
      </c>
      <c r="G90" s="31">
        <f t="shared" si="30"/>
        <v>0</v>
      </c>
      <c r="H90" s="31">
        <f t="shared" si="30"/>
        <v>0</v>
      </c>
      <c r="I90" s="31">
        <f t="shared" si="30"/>
        <v>0</v>
      </c>
      <c r="J90" s="31">
        <f t="shared" si="30"/>
        <v>0</v>
      </c>
      <c r="K90" s="31">
        <f t="shared" si="16"/>
        <v>0</v>
      </c>
      <c r="L90" s="31">
        <f t="shared" si="9"/>
        <v>0</v>
      </c>
      <c r="M90" s="31" t="e">
        <f ca="1" t="shared" si="10"/>
        <v>#REF!</v>
      </c>
      <c r="N90" s="31">
        <f t="shared" si="11"/>
        <v>0</v>
      </c>
      <c r="O90" s="31" t="e">
        <f ca="1" t="shared" si="12"/>
        <v>#REF!</v>
      </c>
      <c r="P90" s="31">
        <f t="shared" si="17"/>
        <v>0</v>
      </c>
      <c r="Q90" s="31">
        <f t="shared" si="18"/>
        <v>0</v>
      </c>
      <c r="R90" s="31" t="e">
        <f ca="1" t="shared" si="19"/>
        <v>#REF!</v>
      </c>
      <c r="S90" s="31">
        <f t="shared" si="20"/>
        <v>0</v>
      </c>
      <c r="T90" s="31">
        <f t="shared" si="21"/>
        <v>0</v>
      </c>
      <c r="U90" s="31">
        <f t="shared" si="22"/>
        <v>0</v>
      </c>
      <c r="V90" s="31" t="e">
        <f ca="1" t="shared" si="23"/>
        <v>#REF!</v>
      </c>
      <c r="W90" s="31" t="e">
        <f ca="1" t="shared" si="24"/>
        <v>#REF!</v>
      </c>
      <c r="X90" s="31" t="e">
        <f ca="1" t="shared" si="25"/>
        <v>#REF!</v>
      </c>
      <c r="Y90" s="31">
        <f t="shared" si="26"/>
        <v>0</v>
      </c>
      <c r="Z90" s="34" t="e">
        <f ca="1" t="shared" si="27"/>
        <v>#REF!</v>
      </c>
    </row>
    <row r="91" s="3" customFormat="1" customHeight="1" spans="2:26">
      <c r="B91" s="19"/>
      <c r="C91" s="35" t="s">
        <v>129</v>
      </c>
      <c r="D91" s="31">
        <f t="shared" si="14"/>
        <v>75.015263</v>
      </c>
      <c r="E91" s="31" t="e">
        <f ca="1" t="shared" si="15"/>
        <v>#REF!</v>
      </c>
      <c r="F91" s="31">
        <f t="shared" si="30"/>
        <v>34.576114</v>
      </c>
      <c r="G91" s="31">
        <f t="shared" si="30"/>
        <v>39.489574</v>
      </c>
      <c r="H91" s="31">
        <f t="shared" si="30"/>
        <v>0.04</v>
      </c>
      <c r="I91" s="31">
        <f t="shared" si="30"/>
        <v>0.744949</v>
      </c>
      <c r="J91" s="31">
        <f t="shared" si="30"/>
        <v>0</v>
      </c>
      <c r="K91" s="31">
        <f t="shared" si="16"/>
        <v>0.602049</v>
      </c>
      <c r="L91" s="31">
        <f t="shared" si="9"/>
        <v>0.1429</v>
      </c>
      <c r="M91" s="31" t="e">
        <f ca="1" t="shared" si="10"/>
        <v>#REF!</v>
      </c>
      <c r="N91" s="31">
        <f t="shared" si="11"/>
        <v>0.639245</v>
      </c>
      <c r="O91" s="31" t="e">
        <f ca="1" t="shared" si="12"/>
        <v>#REF!</v>
      </c>
      <c r="P91" s="31">
        <f t="shared" si="17"/>
        <v>0.164626</v>
      </c>
      <c r="Q91" s="31">
        <f t="shared" si="18"/>
        <v>0</v>
      </c>
      <c r="R91" s="31" t="e">
        <f ca="1" t="shared" si="19"/>
        <v>#REF!</v>
      </c>
      <c r="S91" s="31">
        <f t="shared" si="20"/>
        <v>0.07416</v>
      </c>
      <c r="T91" s="31">
        <f t="shared" si="21"/>
        <v>0.090466</v>
      </c>
      <c r="U91" s="31">
        <f t="shared" si="22"/>
        <v>0.61</v>
      </c>
      <c r="V91" s="31" t="e">
        <f ca="1" t="shared" si="23"/>
        <v>#REF!</v>
      </c>
      <c r="W91" s="31" t="e">
        <f ca="1" t="shared" si="24"/>
        <v>#REF!</v>
      </c>
      <c r="X91" s="31" t="e">
        <f ca="1" t="shared" si="25"/>
        <v>#REF!</v>
      </c>
      <c r="Y91" s="31">
        <f t="shared" si="26"/>
        <v>0.033</v>
      </c>
      <c r="Z91" s="34" t="e">
        <f ca="1" t="shared" si="27"/>
        <v>#REF!</v>
      </c>
    </row>
    <row r="92" s="3" customFormat="1" customHeight="1" spans="2:26">
      <c r="B92" s="19"/>
      <c r="C92" s="35" t="s">
        <v>118</v>
      </c>
      <c r="D92" s="31">
        <f t="shared" si="14"/>
        <v>39.160947</v>
      </c>
      <c r="E92" s="31" t="e">
        <f ca="1" t="shared" si="15"/>
        <v>#REF!</v>
      </c>
      <c r="F92" s="31">
        <f t="shared" si="30"/>
        <v>8.773079</v>
      </c>
      <c r="G92" s="31">
        <f t="shared" si="30"/>
        <v>28.064478</v>
      </c>
      <c r="H92" s="31">
        <f t="shared" si="30"/>
        <v>0.318069</v>
      </c>
      <c r="I92" s="31">
        <f t="shared" si="30"/>
        <v>0.873385</v>
      </c>
      <c r="J92" s="31">
        <f t="shared" si="30"/>
        <v>0.081866</v>
      </c>
      <c r="K92" s="31">
        <f t="shared" si="16"/>
        <v>0.546695</v>
      </c>
      <c r="L92" s="31">
        <f t="shared" ref="L92:L108" si="31">N34</f>
        <v>0.12604</v>
      </c>
      <c r="M92" s="31" t="e">
        <f ca="1" t="shared" ref="M92:M108" si="32">O34</f>
        <v>#REF!</v>
      </c>
      <c r="N92" s="31">
        <f t="shared" ref="N92:N108" si="33">P34</f>
        <v>0.66766</v>
      </c>
      <c r="O92" s="31" t="e">
        <f ca="1" t="shared" ref="O92:O108" si="34">Q34</f>
        <v>#REF!</v>
      </c>
      <c r="P92" s="31">
        <f t="shared" si="17"/>
        <v>1.131936</v>
      </c>
      <c r="Q92" s="31">
        <f t="shared" si="18"/>
        <v>0.086252</v>
      </c>
      <c r="R92" s="31" t="e">
        <f ca="1" t="shared" si="19"/>
        <v>#REF!</v>
      </c>
      <c r="S92" s="31">
        <f t="shared" si="20"/>
        <v>0.4339</v>
      </c>
      <c r="T92" s="31">
        <f t="shared" si="21"/>
        <v>0.251282</v>
      </c>
      <c r="U92" s="31">
        <f t="shared" si="22"/>
        <v>0.2464</v>
      </c>
      <c r="V92" s="31" t="e">
        <f ca="1" t="shared" si="23"/>
        <v>#REF!</v>
      </c>
      <c r="W92" s="31" t="e">
        <f ca="1" t="shared" si="24"/>
        <v>#REF!</v>
      </c>
      <c r="X92" s="31" t="e">
        <f ca="1" t="shared" si="25"/>
        <v>#REF!</v>
      </c>
      <c r="Y92" s="31">
        <f t="shared" si="26"/>
        <v>0.62425</v>
      </c>
      <c r="Z92" s="34" t="e">
        <f ca="1" t="shared" si="27"/>
        <v>#REF!</v>
      </c>
    </row>
    <row r="93" s="3" customFormat="1" customHeight="1" spans="2:26">
      <c r="B93" s="19"/>
      <c r="C93" s="35" t="s">
        <v>119</v>
      </c>
      <c r="D93" s="31">
        <f t="shared" si="14"/>
        <v>99.931946</v>
      </c>
      <c r="E93" s="31" t="e">
        <f ca="1" t="shared" si="15"/>
        <v>#REF!</v>
      </c>
      <c r="F93" s="31">
        <f t="shared" si="30"/>
        <v>28.392142</v>
      </c>
      <c r="G93" s="31">
        <f t="shared" si="30"/>
        <v>35.997413</v>
      </c>
      <c r="H93" s="31">
        <f t="shared" si="30"/>
        <v>3.997013</v>
      </c>
      <c r="I93" s="31">
        <f t="shared" si="30"/>
        <v>6.093043</v>
      </c>
      <c r="J93" s="31">
        <f t="shared" si="30"/>
        <v>0.309741</v>
      </c>
      <c r="K93" s="31">
        <f t="shared" si="16"/>
        <v>1.205435</v>
      </c>
      <c r="L93" s="31">
        <f t="shared" si="31"/>
        <v>3.662596</v>
      </c>
      <c r="M93" s="31" t="e">
        <f ca="1" t="shared" si="32"/>
        <v>#REF!</v>
      </c>
      <c r="N93" s="31">
        <f t="shared" si="33"/>
        <v>1.133426</v>
      </c>
      <c r="O93" s="31" t="e">
        <f ca="1" t="shared" si="34"/>
        <v>#REF!</v>
      </c>
      <c r="P93" s="31">
        <f t="shared" si="17"/>
        <v>25.452335</v>
      </c>
      <c r="Q93" s="31">
        <f t="shared" si="18"/>
        <v>7.474812</v>
      </c>
      <c r="R93" s="31" t="e">
        <f ca="1" t="shared" si="19"/>
        <v>#REF!</v>
      </c>
      <c r="S93" s="31">
        <f t="shared" si="20"/>
        <v>7.119267</v>
      </c>
      <c r="T93" s="31">
        <f t="shared" si="21"/>
        <v>6.083199</v>
      </c>
      <c r="U93" s="31">
        <f t="shared" si="22"/>
        <v>1.468872</v>
      </c>
      <c r="V93" s="31" t="e">
        <f ca="1" t="shared" si="23"/>
        <v>#REF!</v>
      </c>
      <c r="W93" s="31" t="e">
        <f ca="1" t="shared" si="24"/>
        <v>#REF!</v>
      </c>
      <c r="X93" s="31" t="e">
        <f ca="1" t="shared" si="25"/>
        <v>#REF!</v>
      </c>
      <c r="Y93" s="31">
        <f t="shared" si="26"/>
        <v>0.465698</v>
      </c>
      <c r="Z93" s="34" t="e">
        <f ca="1" t="shared" si="27"/>
        <v>#REF!</v>
      </c>
    </row>
    <row r="94" s="3" customFormat="1" customHeight="1" spans="2:26">
      <c r="B94" s="19"/>
      <c r="C94" s="35" t="s">
        <v>130</v>
      </c>
      <c r="D94" s="31">
        <f t="shared" si="14"/>
        <v>212.290077</v>
      </c>
      <c r="E94" s="31" t="e">
        <f ca="1" t="shared" si="15"/>
        <v>#REF!</v>
      </c>
      <c r="F94" s="31">
        <f t="shared" si="30"/>
        <v>156.477077</v>
      </c>
      <c r="G94" s="31">
        <f t="shared" si="30"/>
        <v>55.813</v>
      </c>
      <c r="H94" s="31">
        <f t="shared" si="30"/>
        <v>0</v>
      </c>
      <c r="I94" s="31">
        <f t="shared" si="30"/>
        <v>0</v>
      </c>
      <c r="J94" s="31">
        <f t="shared" si="30"/>
        <v>0</v>
      </c>
      <c r="K94" s="31">
        <f t="shared" si="16"/>
        <v>0</v>
      </c>
      <c r="L94" s="31">
        <f t="shared" si="31"/>
        <v>0</v>
      </c>
      <c r="M94" s="31" t="e">
        <f ca="1" t="shared" si="32"/>
        <v>#REF!</v>
      </c>
      <c r="N94" s="31">
        <f t="shared" si="33"/>
        <v>0.8</v>
      </c>
      <c r="O94" s="31" t="e">
        <f ca="1" t="shared" si="34"/>
        <v>#REF!</v>
      </c>
      <c r="P94" s="31">
        <f t="shared" si="17"/>
        <v>0</v>
      </c>
      <c r="Q94" s="31">
        <f t="shared" si="18"/>
        <v>0</v>
      </c>
      <c r="R94" s="31" t="e">
        <f ca="1" t="shared" si="19"/>
        <v>#REF!</v>
      </c>
      <c r="S94" s="31">
        <f t="shared" si="20"/>
        <v>0</v>
      </c>
      <c r="T94" s="31">
        <f t="shared" si="21"/>
        <v>0</v>
      </c>
      <c r="U94" s="31">
        <f t="shared" si="22"/>
        <v>0</v>
      </c>
      <c r="V94" s="31" t="e">
        <f ca="1" t="shared" si="23"/>
        <v>#REF!</v>
      </c>
      <c r="W94" s="31" t="e">
        <f ca="1" t="shared" si="24"/>
        <v>#REF!</v>
      </c>
      <c r="X94" s="31" t="e">
        <f ca="1" t="shared" si="25"/>
        <v>#REF!</v>
      </c>
      <c r="Y94" s="31">
        <f t="shared" si="26"/>
        <v>0</v>
      </c>
      <c r="Z94" s="34" t="e">
        <f ca="1" t="shared" si="27"/>
        <v>#REF!</v>
      </c>
    </row>
    <row r="95" s="3" customFormat="1" customHeight="1" spans="2:26">
      <c r="B95" s="19"/>
      <c r="C95" s="35" t="s">
        <v>107</v>
      </c>
      <c r="D95" s="31">
        <f t="shared" si="14"/>
        <v>73.969923</v>
      </c>
      <c r="E95" s="31" t="e">
        <f ca="1" t="shared" si="15"/>
        <v>#REF!</v>
      </c>
      <c r="F95" s="31">
        <f t="shared" si="30"/>
        <v>34.89</v>
      </c>
      <c r="G95" s="31">
        <f t="shared" si="30"/>
        <v>39.079923</v>
      </c>
      <c r="H95" s="31">
        <f t="shared" si="30"/>
        <v>0</v>
      </c>
      <c r="I95" s="31">
        <f t="shared" si="30"/>
        <v>0</v>
      </c>
      <c r="J95" s="31">
        <f t="shared" si="30"/>
        <v>0</v>
      </c>
      <c r="K95" s="31">
        <f t="shared" si="16"/>
        <v>0</v>
      </c>
      <c r="L95" s="31">
        <f t="shared" si="31"/>
        <v>0</v>
      </c>
      <c r="M95" s="31" t="e">
        <f ca="1" t="shared" si="32"/>
        <v>#REF!</v>
      </c>
      <c r="N95" s="31">
        <f t="shared" si="33"/>
        <v>0</v>
      </c>
      <c r="O95" s="31" t="e">
        <f ca="1" t="shared" si="34"/>
        <v>#REF!</v>
      </c>
      <c r="P95" s="31">
        <f t="shared" si="17"/>
        <v>0</v>
      </c>
      <c r="Q95" s="31">
        <f t="shared" si="18"/>
        <v>0</v>
      </c>
      <c r="R95" s="31" t="e">
        <f ca="1" t="shared" si="19"/>
        <v>#REF!</v>
      </c>
      <c r="S95" s="31">
        <f t="shared" si="20"/>
        <v>0</v>
      </c>
      <c r="T95" s="31">
        <f t="shared" si="21"/>
        <v>0</v>
      </c>
      <c r="U95" s="31">
        <f t="shared" si="22"/>
        <v>0</v>
      </c>
      <c r="V95" s="31" t="e">
        <f ca="1" t="shared" si="23"/>
        <v>#REF!</v>
      </c>
      <c r="W95" s="31" t="e">
        <f ca="1" t="shared" si="24"/>
        <v>#REF!</v>
      </c>
      <c r="X95" s="31" t="e">
        <f ca="1" t="shared" si="25"/>
        <v>#REF!</v>
      </c>
      <c r="Y95" s="31">
        <f t="shared" si="26"/>
        <v>0</v>
      </c>
      <c r="Z95" s="34" t="e">
        <f ca="1" t="shared" si="27"/>
        <v>#REF!</v>
      </c>
    </row>
    <row r="96" s="3" customFormat="1" customHeight="1" spans="2:26">
      <c r="B96" s="19"/>
      <c r="C96" s="35" t="s">
        <v>131</v>
      </c>
      <c r="D96" s="31">
        <f t="shared" si="14"/>
        <v>86.493218</v>
      </c>
      <c r="E96" s="31" t="e">
        <f ca="1" t="shared" si="15"/>
        <v>#REF!</v>
      </c>
      <c r="F96" s="31">
        <f t="shared" si="30"/>
        <v>43.199905</v>
      </c>
      <c r="G96" s="31">
        <f t="shared" si="30"/>
        <v>5.447555</v>
      </c>
      <c r="H96" s="31">
        <f t="shared" si="30"/>
        <v>0</v>
      </c>
      <c r="I96" s="31">
        <f t="shared" si="30"/>
        <v>11.320754</v>
      </c>
      <c r="J96" s="31">
        <f t="shared" si="30"/>
        <v>0</v>
      </c>
      <c r="K96" s="31">
        <f t="shared" si="16"/>
        <v>0</v>
      </c>
      <c r="L96" s="31">
        <f t="shared" si="31"/>
        <v>0</v>
      </c>
      <c r="M96" s="31" t="e">
        <f ca="1" t="shared" si="32"/>
        <v>#REF!</v>
      </c>
      <c r="N96" s="31">
        <f t="shared" si="33"/>
        <v>0</v>
      </c>
      <c r="O96" s="31" t="e">
        <f ca="1" t="shared" si="34"/>
        <v>#REF!</v>
      </c>
      <c r="P96" s="31">
        <f t="shared" si="17"/>
        <v>26.525004</v>
      </c>
      <c r="Q96" s="31">
        <f t="shared" si="18"/>
        <v>0</v>
      </c>
      <c r="R96" s="31" t="e">
        <f ca="1" t="shared" si="19"/>
        <v>#REF!</v>
      </c>
      <c r="S96" s="31">
        <f t="shared" si="20"/>
        <v>23.63986</v>
      </c>
      <c r="T96" s="31">
        <f t="shared" si="21"/>
        <v>2.885144</v>
      </c>
      <c r="U96" s="31">
        <f t="shared" si="22"/>
        <v>0</v>
      </c>
      <c r="V96" s="31" t="e">
        <f ca="1" t="shared" si="23"/>
        <v>#REF!</v>
      </c>
      <c r="W96" s="31" t="e">
        <f ca="1" t="shared" si="24"/>
        <v>#REF!</v>
      </c>
      <c r="X96" s="31" t="e">
        <f ca="1" t="shared" si="25"/>
        <v>#REF!</v>
      </c>
      <c r="Y96" s="31">
        <f t="shared" si="26"/>
        <v>0</v>
      </c>
      <c r="Z96" s="34" t="e">
        <f ca="1" t="shared" si="27"/>
        <v>#REF!</v>
      </c>
    </row>
    <row r="97" s="3" customFormat="1" customHeight="1" spans="2:26">
      <c r="B97" s="19"/>
      <c r="C97" s="35" t="s">
        <v>132</v>
      </c>
      <c r="D97" s="31">
        <f t="shared" si="14"/>
        <v>0</v>
      </c>
      <c r="E97" s="31" t="e">
        <f ca="1" t="shared" si="15"/>
        <v>#REF!</v>
      </c>
      <c r="F97" s="31">
        <f t="shared" si="30"/>
        <v>0</v>
      </c>
      <c r="G97" s="31">
        <f t="shared" si="30"/>
        <v>0</v>
      </c>
      <c r="H97" s="31">
        <f t="shared" si="30"/>
        <v>0</v>
      </c>
      <c r="I97" s="31">
        <f t="shared" si="30"/>
        <v>0</v>
      </c>
      <c r="J97" s="31">
        <f t="shared" si="30"/>
        <v>0</v>
      </c>
      <c r="K97" s="31">
        <f t="shared" si="16"/>
        <v>0</v>
      </c>
      <c r="L97" s="31">
        <f t="shared" si="31"/>
        <v>0</v>
      </c>
      <c r="M97" s="31" t="e">
        <f ca="1" t="shared" si="32"/>
        <v>#REF!</v>
      </c>
      <c r="N97" s="31">
        <f t="shared" si="33"/>
        <v>0</v>
      </c>
      <c r="O97" s="31" t="e">
        <f ca="1" t="shared" si="34"/>
        <v>#REF!</v>
      </c>
      <c r="P97" s="31">
        <f t="shared" si="17"/>
        <v>0</v>
      </c>
      <c r="Q97" s="31">
        <f t="shared" si="18"/>
        <v>0</v>
      </c>
      <c r="R97" s="31" t="e">
        <f ca="1" t="shared" si="19"/>
        <v>#REF!</v>
      </c>
      <c r="S97" s="31">
        <f t="shared" si="20"/>
        <v>0</v>
      </c>
      <c r="T97" s="31">
        <f t="shared" si="21"/>
        <v>0</v>
      </c>
      <c r="U97" s="31">
        <f t="shared" si="22"/>
        <v>0</v>
      </c>
      <c r="V97" s="31" t="e">
        <f ca="1" t="shared" si="23"/>
        <v>#REF!</v>
      </c>
      <c r="W97" s="31" t="e">
        <f ca="1" t="shared" si="24"/>
        <v>#REF!</v>
      </c>
      <c r="X97" s="31" t="e">
        <f ca="1" t="shared" si="25"/>
        <v>#REF!</v>
      </c>
      <c r="Y97" s="31">
        <f t="shared" si="26"/>
        <v>0</v>
      </c>
      <c r="Z97" s="34" t="e">
        <f ca="1" t="shared" si="27"/>
        <v>#REF!</v>
      </c>
    </row>
    <row r="98" s="3" customFormat="1" customHeight="1" spans="2:26">
      <c r="B98" s="19"/>
      <c r="C98" s="35" t="s">
        <v>294</v>
      </c>
      <c r="D98" s="31">
        <f t="shared" si="14"/>
        <v>12.611292</v>
      </c>
      <c r="E98" s="31" t="e">
        <f t="shared" si="15"/>
        <v>#REF!</v>
      </c>
      <c r="F98" s="31">
        <f t="shared" si="30"/>
        <v>6.605572</v>
      </c>
      <c r="G98" s="31">
        <f t="shared" si="30"/>
        <v>6.00572</v>
      </c>
      <c r="H98" s="31">
        <f t="shared" si="30"/>
        <v>0</v>
      </c>
      <c r="I98" s="31">
        <f t="shared" si="30"/>
        <v>0</v>
      </c>
      <c r="J98" s="31">
        <f t="shared" si="30"/>
        <v>0</v>
      </c>
      <c r="K98" s="31">
        <f t="shared" si="16"/>
        <v>0</v>
      </c>
      <c r="L98" s="31">
        <f t="shared" si="31"/>
        <v>0</v>
      </c>
      <c r="M98" s="31" t="e">
        <f t="shared" si="32"/>
        <v>#REF!</v>
      </c>
      <c r="N98" s="31">
        <f t="shared" si="33"/>
        <v>0.04</v>
      </c>
      <c r="O98" s="31" t="e">
        <f t="shared" si="34"/>
        <v>#REF!</v>
      </c>
      <c r="P98" s="31">
        <f t="shared" si="17"/>
        <v>0</v>
      </c>
      <c r="Q98" s="31">
        <f t="shared" si="18"/>
        <v>0</v>
      </c>
      <c r="R98" s="31" t="e">
        <f t="shared" si="19"/>
        <v>#REF!</v>
      </c>
      <c r="S98" s="31">
        <f t="shared" si="20"/>
        <v>0</v>
      </c>
      <c r="T98" s="31">
        <f t="shared" si="21"/>
        <v>0</v>
      </c>
      <c r="U98" s="31">
        <f t="shared" si="22"/>
        <v>0</v>
      </c>
      <c r="V98" s="31" t="e">
        <f t="shared" si="23"/>
        <v>#REF!</v>
      </c>
      <c r="W98" s="31" t="e">
        <f t="shared" si="24"/>
        <v>#REF!</v>
      </c>
      <c r="X98" s="31" t="e">
        <f t="shared" si="25"/>
        <v>#REF!</v>
      </c>
      <c r="Y98" s="31">
        <f t="shared" si="26"/>
        <v>6.565572</v>
      </c>
      <c r="Z98" s="34" t="e">
        <f t="shared" si="27"/>
        <v>#REF!</v>
      </c>
    </row>
    <row r="99" s="3" customFormat="1" customHeight="1" spans="2:26">
      <c r="B99" s="20"/>
      <c r="C99" s="35" t="s">
        <v>102</v>
      </c>
      <c r="D99" s="31">
        <f t="shared" si="14"/>
        <v>10396.61115</v>
      </c>
      <c r="E99" s="31" t="e">
        <f ca="1" t="shared" si="15"/>
        <v>#REF!</v>
      </c>
      <c r="F99" s="31">
        <f t="shared" si="30"/>
        <v>2489.888161</v>
      </c>
      <c r="G99" s="31">
        <f t="shared" si="30"/>
        <v>4840.0792</v>
      </c>
      <c r="H99" s="31">
        <f t="shared" si="30"/>
        <v>248.854924</v>
      </c>
      <c r="I99" s="31">
        <f t="shared" si="30"/>
        <v>354.74849</v>
      </c>
      <c r="J99" s="31">
        <f t="shared" si="30"/>
        <v>54.088403</v>
      </c>
      <c r="K99" s="31">
        <f t="shared" si="16"/>
        <v>122.620171</v>
      </c>
      <c r="L99" s="31">
        <f t="shared" si="31"/>
        <v>56.412276</v>
      </c>
      <c r="M99" s="31" t="e">
        <f ca="1" t="shared" si="32"/>
        <v>#REF!</v>
      </c>
      <c r="N99" s="31">
        <f t="shared" si="33"/>
        <v>84.55369</v>
      </c>
      <c r="O99" s="31" t="e">
        <f ca="1" t="shared" si="34"/>
        <v>#REF!</v>
      </c>
      <c r="P99" s="31">
        <f t="shared" si="17"/>
        <v>2378.610177</v>
      </c>
      <c r="Q99" s="31">
        <f t="shared" si="18"/>
        <v>241.292625</v>
      </c>
      <c r="R99" s="31" t="e">
        <f ca="1" t="shared" si="19"/>
        <v>#REF!</v>
      </c>
      <c r="S99" s="31">
        <f t="shared" si="20"/>
        <v>1489.951228</v>
      </c>
      <c r="T99" s="31">
        <f t="shared" si="21"/>
        <v>395.226599</v>
      </c>
      <c r="U99" s="31">
        <f t="shared" si="22"/>
        <v>129.686383</v>
      </c>
      <c r="V99" s="31" t="e">
        <f ca="1" t="shared" si="23"/>
        <v>#REF!</v>
      </c>
      <c r="W99" s="31" t="e">
        <f ca="1" t="shared" si="24"/>
        <v>#REF!</v>
      </c>
      <c r="X99" s="31" t="e">
        <f ca="1" t="shared" si="25"/>
        <v>#REF!</v>
      </c>
      <c r="Y99" s="31">
        <f t="shared" si="26"/>
        <v>78.38216</v>
      </c>
      <c r="Z99" s="34" t="e">
        <f ca="1" t="shared" si="27"/>
        <v>#REF!</v>
      </c>
    </row>
    <row r="100" s="3" customFormat="1" customHeight="1" spans="2:26">
      <c r="B100" s="18" t="s">
        <v>123</v>
      </c>
      <c r="C100" s="35" t="s">
        <v>133</v>
      </c>
      <c r="D100" s="31">
        <f t="shared" si="14"/>
        <v>1532.565357</v>
      </c>
      <c r="E100" s="31" t="e">
        <f ca="1" t="shared" si="15"/>
        <v>#REF!</v>
      </c>
      <c r="F100" s="31">
        <f t="shared" ref="F100:J108" si="35">F42</f>
        <v>897.853326</v>
      </c>
      <c r="G100" s="31">
        <f t="shared" si="35"/>
        <v>593.091148</v>
      </c>
      <c r="H100" s="31">
        <f t="shared" si="35"/>
        <v>20.439122</v>
      </c>
      <c r="I100" s="31">
        <f t="shared" si="35"/>
        <v>21.181761</v>
      </c>
      <c r="J100" s="31">
        <f t="shared" si="35"/>
        <v>5.058834</v>
      </c>
      <c r="K100" s="31">
        <f t="shared" si="16"/>
        <v>3.954516</v>
      </c>
      <c r="L100" s="31">
        <f t="shared" si="31"/>
        <v>9.61437</v>
      </c>
      <c r="M100" s="31" t="e">
        <f ca="1" t="shared" si="32"/>
        <v>#REF!</v>
      </c>
      <c r="N100" s="31">
        <f t="shared" si="33"/>
        <v>1.225226</v>
      </c>
      <c r="O100" s="31" t="e">
        <f ca="1" t="shared" si="34"/>
        <v>#REF!</v>
      </c>
      <c r="P100" s="31">
        <f t="shared" si="17"/>
        <v>0</v>
      </c>
      <c r="Q100" s="31">
        <f t="shared" si="18"/>
        <v>0</v>
      </c>
      <c r="R100" s="31" t="e">
        <f ca="1" t="shared" si="19"/>
        <v>#REF!</v>
      </c>
      <c r="S100" s="31">
        <f t="shared" si="20"/>
        <v>0</v>
      </c>
      <c r="T100" s="31">
        <f t="shared" si="21"/>
        <v>0</v>
      </c>
      <c r="U100" s="31">
        <f t="shared" si="22"/>
        <v>0</v>
      </c>
      <c r="V100" s="31" t="e">
        <f ca="1" t="shared" si="23"/>
        <v>#REF!</v>
      </c>
      <c r="W100" s="31" t="e">
        <f ca="1" t="shared" si="24"/>
        <v>#REF!</v>
      </c>
      <c r="X100" s="31" t="e">
        <f ca="1" t="shared" si="25"/>
        <v>#REF!</v>
      </c>
      <c r="Y100" s="31">
        <f t="shared" si="26"/>
        <v>0</v>
      </c>
      <c r="Z100" s="34" t="e">
        <f ca="1" t="shared" si="27"/>
        <v>#REF!</v>
      </c>
    </row>
    <row r="101" s="3" customFormat="1" customHeight="1" spans="2:26">
      <c r="B101" s="19"/>
      <c r="C101" s="35" t="s">
        <v>134</v>
      </c>
      <c r="D101" s="31">
        <f t="shared" si="14"/>
        <v>551.418782</v>
      </c>
      <c r="E101" s="31" t="e">
        <f ca="1" t="shared" si="15"/>
        <v>#REF!</v>
      </c>
      <c r="F101" s="31">
        <f t="shared" si="35"/>
        <v>109.648194</v>
      </c>
      <c r="G101" s="31">
        <f t="shared" si="35"/>
        <v>367.080985</v>
      </c>
      <c r="H101" s="31">
        <f t="shared" si="35"/>
        <v>38.73987</v>
      </c>
      <c r="I101" s="31">
        <f t="shared" si="35"/>
        <v>35.544714</v>
      </c>
      <c r="J101" s="31">
        <f t="shared" si="35"/>
        <v>7.811844</v>
      </c>
      <c r="K101" s="31">
        <f t="shared" si="16"/>
        <v>9.146825</v>
      </c>
      <c r="L101" s="31">
        <f t="shared" si="31"/>
        <v>4.236792</v>
      </c>
      <c r="M101" s="31" t="e">
        <f ca="1" t="shared" si="32"/>
        <v>#REF!</v>
      </c>
      <c r="N101" s="31">
        <f t="shared" si="33"/>
        <v>0.156</v>
      </c>
      <c r="O101" s="31" t="e">
        <f ca="1" t="shared" si="34"/>
        <v>#REF!</v>
      </c>
      <c r="P101" s="31">
        <f t="shared" si="17"/>
        <v>0.405019</v>
      </c>
      <c r="Q101" s="31">
        <f t="shared" si="18"/>
        <v>0.245283</v>
      </c>
      <c r="R101" s="31" t="e">
        <f ca="1" t="shared" si="19"/>
        <v>#REF!</v>
      </c>
      <c r="S101" s="31">
        <f t="shared" si="20"/>
        <v>0.122</v>
      </c>
      <c r="T101" s="31">
        <f t="shared" si="21"/>
        <v>0</v>
      </c>
      <c r="U101" s="31">
        <f t="shared" si="22"/>
        <v>0.54717</v>
      </c>
      <c r="V101" s="31" t="e">
        <f ca="1" t="shared" si="23"/>
        <v>#REF!</v>
      </c>
      <c r="W101" s="31" t="e">
        <f ca="1" t="shared" si="24"/>
        <v>#REF!</v>
      </c>
      <c r="X101" s="31" t="e">
        <f ca="1" t="shared" si="25"/>
        <v>#REF!</v>
      </c>
      <c r="Y101" s="31">
        <f t="shared" si="26"/>
        <v>0.226416</v>
      </c>
      <c r="Z101" s="34" t="e">
        <f ca="1" t="shared" si="27"/>
        <v>#REF!</v>
      </c>
    </row>
    <row r="102" s="3" customFormat="1" customHeight="1" spans="2:26">
      <c r="B102" s="19"/>
      <c r="C102" s="35" t="s">
        <v>135</v>
      </c>
      <c r="D102" s="31">
        <f t="shared" si="14"/>
        <v>3979.854718</v>
      </c>
      <c r="E102" s="31" t="e">
        <f ca="1" t="shared" si="15"/>
        <v>#REF!</v>
      </c>
      <c r="F102" s="31">
        <f t="shared" si="35"/>
        <v>840.204935</v>
      </c>
      <c r="G102" s="31">
        <f t="shared" si="35"/>
        <v>2817.480281</v>
      </c>
      <c r="H102" s="31">
        <f t="shared" si="35"/>
        <v>51.696806</v>
      </c>
      <c r="I102" s="31">
        <f t="shared" si="35"/>
        <v>184.860137</v>
      </c>
      <c r="J102" s="31">
        <f t="shared" si="35"/>
        <v>25.720074</v>
      </c>
      <c r="K102" s="31">
        <f t="shared" si="16"/>
        <v>58.356947</v>
      </c>
      <c r="L102" s="31">
        <f t="shared" si="31"/>
        <v>49.296481</v>
      </c>
      <c r="M102" s="31" t="e">
        <f ca="1" t="shared" si="32"/>
        <v>#REF!</v>
      </c>
      <c r="N102" s="31">
        <f t="shared" si="33"/>
        <v>518.50519</v>
      </c>
      <c r="O102" s="31" t="e">
        <f ca="1" t="shared" si="34"/>
        <v>#REF!</v>
      </c>
      <c r="P102" s="31">
        <f t="shared" si="17"/>
        <v>58.162239</v>
      </c>
      <c r="Q102" s="31">
        <f t="shared" si="18"/>
        <v>0</v>
      </c>
      <c r="R102" s="31" t="e">
        <f ca="1" t="shared" si="19"/>
        <v>#REF!</v>
      </c>
      <c r="S102" s="31">
        <f t="shared" si="20"/>
        <v>35.983122</v>
      </c>
      <c r="T102" s="31">
        <f t="shared" si="21"/>
        <v>22.170717</v>
      </c>
      <c r="U102" s="31">
        <f t="shared" si="22"/>
        <v>11.302713</v>
      </c>
      <c r="V102" s="31" t="e">
        <f ca="1" t="shared" si="23"/>
        <v>#REF!</v>
      </c>
      <c r="W102" s="31" t="e">
        <f ca="1" t="shared" si="24"/>
        <v>#REF!</v>
      </c>
      <c r="X102" s="31" t="e">
        <f ca="1" t="shared" si="25"/>
        <v>#REF!</v>
      </c>
      <c r="Y102" s="31">
        <f t="shared" si="26"/>
        <v>16.8056</v>
      </c>
      <c r="Z102" s="34" t="e">
        <f ca="1" t="shared" si="27"/>
        <v>#REF!</v>
      </c>
    </row>
    <row r="103" s="3" customFormat="1" customHeight="1" spans="2:26">
      <c r="B103" s="19"/>
      <c r="C103" s="35" t="s">
        <v>136</v>
      </c>
      <c r="D103" s="31">
        <f t="shared" si="14"/>
        <v>1784.562341</v>
      </c>
      <c r="E103" s="31" t="e">
        <f ca="1" t="shared" si="15"/>
        <v>#REF!</v>
      </c>
      <c r="F103" s="31">
        <f t="shared" si="35"/>
        <v>1395.56545</v>
      </c>
      <c r="G103" s="31">
        <f t="shared" si="35"/>
        <v>1358.387978</v>
      </c>
      <c r="H103" s="31">
        <f t="shared" si="35"/>
        <v>0.671129</v>
      </c>
      <c r="I103" s="31">
        <f t="shared" si="35"/>
        <v>13.197232</v>
      </c>
      <c r="J103" s="31">
        <f t="shared" si="35"/>
        <v>2.682608</v>
      </c>
      <c r="K103" s="31">
        <f t="shared" si="16"/>
        <v>3.720367</v>
      </c>
      <c r="L103" s="31">
        <f t="shared" si="31"/>
        <v>1.420296</v>
      </c>
      <c r="M103" s="31" t="e">
        <f ca="1" t="shared" si="32"/>
        <v>#REF!</v>
      </c>
      <c r="N103" s="31">
        <f t="shared" si="33"/>
        <v>51.466867</v>
      </c>
      <c r="O103" s="31" t="e">
        <f ca="1" t="shared" si="34"/>
        <v>#REF!</v>
      </c>
      <c r="P103" s="31">
        <f t="shared" si="17"/>
        <v>0</v>
      </c>
      <c r="Q103" s="31">
        <f t="shared" si="18"/>
        <v>0</v>
      </c>
      <c r="R103" s="31" t="e">
        <f ca="1" t="shared" si="19"/>
        <v>#REF!</v>
      </c>
      <c r="S103" s="31">
        <f t="shared" si="20"/>
        <v>0</v>
      </c>
      <c r="T103" s="31">
        <f t="shared" si="21"/>
        <v>0</v>
      </c>
      <c r="U103" s="31">
        <f t="shared" si="22"/>
        <v>0</v>
      </c>
      <c r="V103" s="31" t="e">
        <f ca="1" t="shared" si="23"/>
        <v>#REF!</v>
      </c>
      <c r="W103" s="31" t="e">
        <f ca="1" t="shared" si="24"/>
        <v>#REF!</v>
      </c>
      <c r="X103" s="31" t="e">
        <f ca="1" t="shared" si="25"/>
        <v>#REF!</v>
      </c>
      <c r="Y103" s="31">
        <f t="shared" si="26"/>
        <v>0</v>
      </c>
      <c r="Z103" s="34" t="e">
        <f ca="1" t="shared" si="27"/>
        <v>#REF!</v>
      </c>
    </row>
    <row r="104" s="3" customFormat="1" customHeight="1" spans="2:26">
      <c r="B104" s="19"/>
      <c r="C104" s="35" t="s">
        <v>137</v>
      </c>
      <c r="D104" s="31">
        <f t="shared" si="14"/>
        <v>871.253619</v>
      </c>
      <c r="E104" s="31" t="e">
        <f ca="1" t="shared" si="15"/>
        <v>#REF!</v>
      </c>
      <c r="F104" s="31">
        <f t="shared" si="35"/>
        <v>359.221638328138</v>
      </c>
      <c r="G104" s="31">
        <f t="shared" si="35"/>
        <v>63.258924</v>
      </c>
      <c r="H104" s="31">
        <f t="shared" si="35"/>
        <v>118.6635</v>
      </c>
      <c r="I104" s="31">
        <f t="shared" si="35"/>
        <v>122.338291671756</v>
      </c>
      <c r="J104" s="31">
        <f t="shared" si="35"/>
        <v>46.2606142871573</v>
      </c>
      <c r="K104" s="31">
        <f t="shared" si="16"/>
        <v>0</v>
      </c>
      <c r="L104" s="31">
        <f t="shared" si="31"/>
        <v>0</v>
      </c>
      <c r="M104" s="31" t="e">
        <f ca="1" t="shared" si="32"/>
        <v>#REF!</v>
      </c>
      <c r="N104" s="31">
        <f t="shared" si="33"/>
        <v>0</v>
      </c>
      <c r="O104" s="31" t="e">
        <f ca="1" t="shared" si="34"/>
        <v>#REF!</v>
      </c>
      <c r="P104" s="31">
        <f t="shared" si="17"/>
        <v>207.771265000106</v>
      </c>
      <c r="Q104" s="31">
        <f t="shared" si="18"/>
        <v>49.5382995587211</v>
      </c>
      <c r="R104" s="31" t="e">
        <f ca="1" t="shared" si="19"/>
        <v>#REF!</v>
      </c>
      <c r="S104" s="31">
        <f t="shared" si="20"/>
        <v>58.8261377362426</v>
      </c>
      <c r="T104" s="31">
        <f t="shared" si="21"/>
        <v>36.1734568944537</v>
      </c>
      <c r="U104" s="31">
        <f t="shared" si="22"/>
        <v>0</v>
      </c>
      <c r="V104" s="31" t="e">
        <f ca="1" t="shared" si="23"/>
        <v>#REF!</v>
      </c>
      <c r="W104" s="31" t="e">
        <f ca="1" t="shared" si="24"/>
        <v>#REF!</v>
      </c>
      <c r="X104" s="31" t="e">
        <f ca="1" t="shared" si="25"/>
        <v>#REF!</v>
      </c>
      <c r="Y104" s="31">
        <f t="shared" si="26"/>
        <v>0.377364</v>
      </c>
      <c r="Z104" s="34" t="e">
        <f ca="1" t="shared" si="27"/>
        <v>#REF!</v>
      </c>
    </row>
    <row r="105" s="3" customFormat="1" customHeight="1" spans="2:26">
      <c r="B105" s="19"/>
      <c r="C105" s="35" t="s">
        <v>138</v>
      </c>
      <c r="D105" s="31">
        <f t="shared" si="14"/>
        <v>865.596452</v>
      </c>
      <c r="E105" s="31" t="e">
        <f ca="1" t="shared" si="15"/>
        <v>#REF!</v>
      </c>
      <c r="F105" s="31">
        <f t="shared" si="35"/>
        <v>102.07717280963</v>
      </c>
      <c r="G105" s="31">
        <f t="shared" si="35"/>
        <v>670.156932</v>
      </c>
      <c r="H105" s="31">
        <f t="shared" si="35"/>
        <v>11.783185</v>
      </c>
      <c r="I105" s="31">
        <f t="shared" si="35"/>
        <v>141.06222219037</v>
      </c>
      <c r="J105" s="31">
        <f t="shared" si="35"/>
        <v>3.030486</v>
      </c>
      <c r="K105" s="31">
        <f t="shared" si="16"/>
        <v>91.0757792615224</v>
      </c>
      <c r="L105" s="31">
        <f t="shared" si="31"/>
        <v>40.9723969288478</v>
      </c>
      <c r="M105" s="31" t="e">
        <f ca="1" t="shared" si="32"/>
        <v>#REF!</v>
      </c>
      <c r="N105" s="31">
        <f t="shared" si="33"/>
        <v>3.482061</v>
      </c>
      <c r="O105" s="31" t="e">
        <f ca="1" t="shared" si="34"/>
        <v>#REF!</v>
      </c>
      <c r="P105" s="31">
        <f t="shared" si="17"/>
        <v>1.88184</v>
      </c>
      <c r="Q105" s="31">
        <f t="shared" si="18"/>
        <v>0</v>
      </c>
      <c r="R105" s="31" t="e">
        <f ca="1" t="shared" si="19"/>
        <v>#REF!</v>
      </c>
      <c r="S105" s="31">
        <f t="shared" si="20"/>
        <v>0.188004</v>
      </c>
      <c r="T105" s="31">
        <f t="shared" si="21"/>
        <v>1.693836</v>
      </c>
      <c r="U105" s="31">
        <f t="shared" si="22"/>
        <v>0</v>
      </c>
      <c r="V105" s="31" t="e">
        <f ca="1" t="shared" si="23"/>
        <v>#REF!</v>
      </c>
      <c r="W105" s="31" t="e">
        <f ca="1" t="shared" si="24"/>
        <v>#REF!</v>
      </c>
      <c r="X105" s="31" t="e">
        <f ca="1" t="shared" si="25"/>
        <v>#REF!</v>
      </c>
      <c r="Y105" s="31">
        <f t="shared" si="26"/>
        <v>0</v>
      </c>
      <c r="Z105" s="34" t="e">
        <f ca="1" t="shared" si="27"/>
        <v>#REF!</v>
      </c>
    </row>
    <row r="106" s="3" customFormat="1" customHeight="1" spans="2:26">
      <c r="B106" s="19"/>
      <c r="C106" s="35" t="s">
        <v>295</v>
      </c>
      <c r="D106" s="31">
        <f t="shared" si="14"/>
        <v>0</v>
      </c>
      <c r="E106" s="31" t="e">
        <f ca="1" t="shared" si="15"/>
        <v>#REF!</v>
      </c>
      <c r="F106" s="31">
        <f t="shared" si="35"/>
        <v>0</v>
      </c>
      <c r="G106" s="31">
        <f t="shared" si="35"/>
        <v>0</v>
      </c>
      <c r="H106" s="31">
        <f t="shared" si="35"/>
        <v>0</v>
      </c>
      <c r="I106" s="31">
        <f t="shared" si="35"/>
        <v>0</v>
      </c>
      <c r="J106" s="31">
        <f t="shared" si="35"/>
        <v>0</v>
      </c>
      <c r="K106" s="31">
        <f t="shared" si="16"/>
        <v>0</v>
      </c>
      <c r="L106" s="31">
        <f t="shared" si="31"/>
        <v>0</v>
      </c>
      <c r="M106" s="31" t="e">
        <f ca="1" t="shared" si="32"/>
        <v>#REF!</v>
      </c>
      <c r="N106" s="31">
        <f t="shared" si="33"/>
        <v>0</v>
      </c>
      <c r="O106" s="31" t="e">
        <f ca="1" t="shared" si="34"/>
        <v>#REF!</v>
      </c>
      <c r="P106" s="31">
        <f t="shared" si="17"/>
        <v>0</v>
      </c>
      <c r="Q106" s="31">
        <f t="shared" si="18"/>
        <v>0</v>
      </c>
      <c r="R106" s="31" t="e">
        <f ca="1" t="shared" si="19"/>
        <v>#REF!</v>
      </c>
      <c r="S106" s="31">
        <f t="shared" si="20"/>
        <v>0</v>
      </c>
      <c r="T106" s="31">
        <f t="shared" si="21"/>
        <v>0</v>
      </c>
      <c r="U106" s="31">
        <f t="shared" si="22"/>
        <v>0</v>
      </c>
      <c r="V106" s="31" t="e">
        <f ca="1" t="shared" si="23"/>
        <v>#REF!</v>
      </c>
      <c r="W106" s="31" t="e">
        <f ca="1" t="shared" si="24"/>
        <v>#REF!</v>
      </c>
      <c r="X106" s="31" t="e">
        <f ca="1" t="shared" si="25"/>
        <v>#REF!</v>
      </c>
      <c r="Y106" s="31">
        <f t="shared" si="26"/>
        <v>0</v>
      </c>
      <c r="Z106" s="34" t="e">
        <f ca="1" t="shared" si="27"/>
        <v>#REF!</v>
      </c>
    </row>
    <row r="107" s="3" customFormat="1" customHeight="1" spans="2:26">
      <c r="B107" s="20"/>
      <c r="C107" s="35" t="s">
        <v>102</v>
      </c>
      <c r="D107" s="31">
        <f t="shared" si="14"/>
        <v>9585.251269</v>
      </c>
      <c r="E107" s="31" t="e">
        <f ca="1" t="shared" si="15"/>
        <v>#REF!</v>
      </c>
      <c r="F107" s="31">
        <f t="shared" si="35"/>
        <v>3704.57071613777</v>
      </c>
      <c r="G107" s="31">
        <f t="shared" si="35"/>
        <v>5869.456248</v>
      </c>
      <c r="H107" s="31">
        <f t="shared" si="35"/>
        <v>241.993612</v>
      </c>
      <c r="I107" s="31">
        <f t="shared" si="35"/>
        <v>518.184357862126</v>
      </c>
      <c r="J107" s="31">
        <f t="shared" si="35"/>
        <v>90.5644602871573</v>
      </c>
      <c r="K107" s="31">
        <f t="shared" si="16"/>
        <v>166.254434261522</v>
      </c>
      <c r="L107" s="31">
        <f t="shared" si="31"/>
        <v>105.540335928848</v>
      </c>
      <c r="M107" s="31" t="e">
        <f ca="1" t="shared" si="32"/>
        <v>#REF!</v>
      </c>
      <c r="N107" s="31">
        <f t="shared" si="33"/>
        <v>574.835344</v>
      </c>
      <c r="O107" s="31" t="e">
        <f ca="1" t="shared" si="34"/>
        <v>#REF!</v>
      </c>
      <c r="P107" s="31">
        <f t="shared" si="17"/>
        <v>268.220363000106</v>
      </c>
      <c r="Q107" s="31">
        <f t="shared" si="18"/>
        <v>49.7835825587211</v>
      </c>
      <c r="R107" s="31" t="e">
        <f ca="1" t="shared" si="19"/>
        <v>#REF!</v>
      </c>
      <c r="S107" s="31">
        <f t="shared" si="20"/>
        <v>95.1192637362426</v>
      </c>
      <c r="T107" s="31">
        <f t="shared" si="21"/>
        <v>60.0380098944537</v>
      </c>
      <c r="U107" s="31">
        <f t="shared" si="22"/>
        <v>11.849883</v>
      </c>
      <c r="V107" s="31" t="e">
        <f ca="1" t="shared" si="23"/>
        <v>#REF!</v>
      </c>
      <c r="W107" s="31" t="e">
        <f ca="1" t="shared" si="24"/>
        <v>#REF!</v>
      </c>
      <c r="X107" s="31" t="e">
        <f ca="1" t="shared" si="25"/>
        <v>#REF!</v>
      </c>
      <c r="Y107" s="31">
        <f t="shared" si="26"/>
        <v>17.40938</v>
      </c>
      <c r="Z107" s="34" t="e">
        <f ca="1" t="shared" si="27"/>
        <v>#REF!</v>
      </c>
    </row>
    <row r="108" s="3" customFormat="1" customHeight="1" spans="2:26">
      <c r="B108" s="23"/>
      <c r="C108" s="36" t="s">
        <v>4</v>
      </c>
      <c r="D108" s="31">
        <f t="shared" si="14"/>
        <v>72941.818897</v>
      </c>
      <c r="E108" s="31" t="e">
        <f ca="1" t="shared" si="15"/>
        <v>#REF!</v>
      </c>
      <c r="F108" s="31">
        <f t="shared" si="35"/>
        <v>17802.5539251378</v>
      </c>
      <c r="G108" s="31">
        <f t="shared" si="35"/>
        <v>36535.0240047925</v>
      </c>
      <c r="H108" s="31">
        <f t="shared" si="35"/>
        <v>1671.477393</v>
      </c>
      <c r="I108" s="31">
        <f t="shared" si="35"/>
        <v>2740.46111116463</v>
      </c>
      <c r="J108" s="31">
        <f t="shared" si="35"/>
        <v>357.587964287157</v>
      </c>
      <c r="K108" s="31">
        <f t="shared" si="16"/>
        <v>1230.77350626152</v>
      </c>
      <c r="L108" s="31">
        <f t="shared" si="31"/>
        <v>460.359939231348</v>
      </c>
      <c r="M108" s="31" t="e">
        <f ca="1" t="shared" si="32"/>
        <v>#REF!</v>
      </c>
      <c r="N108" s="31">
        <f t="shared" si="33"/>
        <v>936.088863</v>
      </c>
      <c r="O108" s="31" t="e">
        <f ca="1" t="shared" si="34"/>
        <v>#REF!</v>
      </c>
      <c r="P108" s="31">
        <f t="shared" si="17"/>
        <v>12814.5317990001</v>
      </c>
      <c r="Q108" s="31">
        <f t="shared" si="18"/>
        <v>1169.85787155872</v>
      </c>
      <c r="R108" s="31" t="e">
        <f ca="1" t="shared" si="19"/>
        <v>#REF!</v>
      </c>
      <c r="S108" s="31">
        <f t="shared" si="20"/>
        <v>8537.13875873624</v>
      </c>
      <c r="T108" s="31">
        <f t="shared" si="21"/>
        <v>2296.35402189445</v>
      </c>
      <c r="U108" s="31">
        <f t="shared" si="22"/>
        <v>752.681734</v>
      </c>
      <c r="V108" s="31" t="e">
        <f ca="1" t="shared" si="23"/>
        <v>#REF!</v>
      </c>
      <c r="W108" s="31" t="e">
        <f ca="1" t="shared" si="24"/>
        <v>#REF!</v>
      </c>
      <c r="X108" s="31" t="e">
        <f ca="1" t="shared" si="25"/>
        <v>#REF!</v>
      </c>
      <c r="Y108" s="31">
        <f t="shared" si="26"/>
        <v>837.973739</v>
      </c>
      <c r="Z108" s="34" t="e">
        <f ca="1" t="shared" si="27"/>
        <v>#REF!</v>
      </c>
    </row>
    <row r="112" customHeight="1" spans="15:15">
      <c r="O112" s="37" t="e">
        <f ca="1">P17+O17</f>
        <v>#REF!</v>
      </c>
    </row>
    <row r="113" customHeight="1" spans="15:15">
      <c r="O113" s="37" t="e">
        <f ca="1" t="shared" ref="O113:O176" si="36">P18+O18</f>
        <v>#REF!</v>
      </c>
    </row>
    <row r="114" customHeight="1" spans="15:15">
      <c r="O114" s="37" t="e">
        <f ca="1" t="shared" si="36"/>
        <v>#REF!</v>
      </c>
    </row>
    <row r="115" customHeight="1" spans="15:15">
      <c r="O115" s="37" t="e">
        <f ca="1" t="shared" si="36"/>
        <v>#REF!</v>
      </c>
    </row>
    <row r="116" customHeight="1" spans="15:15">
      <c r="O116" s="37" t="e">
        <f ca="1" t="shared" si="36"/>
        <v>#REF!</v>
      </c>
    </row>
    <row r="117" customHeight="1" spans="15:15">
      <c r="O117" s="37" t="e">
        <f ca="1" t="shared" si="36"/>
        <v>#REF!</v>
      </c>
    </row>
    <row r="118" customHeight="1" spans="15:15">
      <c r="O118" s="37" t="e">
        <f ca="1" t="shared" si="36"/>
        <v>#REF!</v>
      </c>
    </row>
    <row r="119" customHeight="1" spans="15:15">
      <c r="O119" s="37" t="e">
        <f ca="1" t="shared" si="36"/>
        <v>#REF!</v>
      </c>
    </row>
    <row r="120" customHeight="1" spans="15:15">
      <c r="O120" s="37" t="e">
        <f ca="1" t="shared" si="36"/>
        <v>#REF!</v>
      </c>
    </row>
    <row r="121" customHeight="1" spans="15:15">
      <c r="O121" s="37" t="e">
        <f ca="1" t="shared" si="36"/>
        <v>#REF!</v>
      </c>
    </row>
    <row r="122" customHeight="1" spans="15:15">
      <c r="O122" s="37" t="e">
        <f ca="1" t="shared" si="36"/>
        <v>#REF!</v>
      </c>
    </row>
    <row r="123" customHeight="1" spans="15:15">
      <c r="O123" s="37" t="e">
        <f ca="1" t="shared" si="36"/>
        <v>#REF!</v>
      </c>
    </row>
    <row r="124" customHeight="1" spans="15:15">
      <c r="O124" s="37" t="e">
        <f ca="1" t="shared" si="36"/>
        <v>#REF!</v>
      </c>
    </row>
    <row r="125" customHeight="1" spans="15:15">
      <c r="O125" s="37" t="e">
        <f ca="1" t="shared" si="36"/>
        <v>#REF!</v>
      </c>
    </row>
    <row r="126" customHeight="1" spans="15:15">
      <c r="O126" s="37" t="e">
        <f ca="1" t="shared" si="36"/>
        <v>#REF!</v>
      </c>
    </row>
    <row r="127" customHeight="1" spans="15:15">
      <c r="O127" s="37" t="e">
        <f ca="1" t="shared" si="36"/>
        <v>#REF!</v>
      </c>
    </row>
    <row r="128" customHeight="1" spans="15:15">
      <c r="O128" s="37" t="e">
        <f ca="1" t="shared" si="36"/>
        <v>#REF!</v>
      </c>
    </row>
    <row r="129" customHeight="1" spans="15:15">
      <c r="O129" s="37" t="e">
        <f ca="1" t="shared" si="36"/>
        <v>#REF!</v>
      </c>
    </row>
    <row r="130" customHeight="1" spans="15:15">
      <c r="O130" s="37" t="e">
        <f ca="1" t="shared" si="36"/>
        <v>#REF!</v>
      </c>
    </row>
    <row r="131" customHeight="1" spans="15:15">
      <c r="O131" s="37" t="e">
        <f ca="1" t="shared" si="36"/>
        <v>#REF!</v>
      </c>
    </row>
    <row r="132" customHeight="1" spans="15:15">
      <c r="O132" s="37" t="e">
        <f ca="1" t="shared" si="36"/>
        <v>#REF!</v>
      </c>
    </row>
    <row r="133" customHeight="1" spans="15:15">
      <c r="O133" s="37" t="e">
        <f ca="1" t="shared" si="36"/>
        <v>#REF!</v>
      </c>
    </row>
    <row r="134" customHeight="1" spans="15:15">
      <c r="O134" s="37" t="e">
        <f ca="1" t="shared" si="36"/>
        <v>#REF!</v>
      </c>
    </row>
    <row r="135" customHeight="1" spans="15:15">
      <c r="O135" s="37" t="e">
        <f t="shared" si="36"/>
        <v>#REF!</v>
      </c>
    </row>
    <row r="136" customHeight="1" spans="15:15">
      <c r="O136" s="37" t="e">
        <f ca="1" t="shared" si="36"/>
        <v>#REF!</v>
      </c>
    </row>
    <row r="137" customHeight="1" spans="15:15">
      <c r="O137" s="37" t="e">
        <f ca="1" t="shared" si="36"/>
        <v>#REF!</v>
      </c>
    </row>
    <row r="138" customHeight="1" spans="15:15">
      <c r="O138" s="37" t="e">
        <f ca="1" t="shared" si="36"/>
        <v>#REF!</v>
      </c>
    </row>
    <row r="139" customHeight="1" spans="15:15">
      <c r="O139" s="37" t="e">
        <f ca="1" t="shared" si="36"/>
        <v>#REF!</v>
      </c>
    </row>
    <row r="140" customHeight="1" spans="15:15">
      <c r="O140" s="37" t="e">
        <f ca="1" t="shared" si="36"/>
        <v>#REF!</v>
      </c>
    </row>
    <row r="141" customHeight="1" spans="15:15">
      <c r="O141" s="37" t="e">
        <f ca="1" t="shared" si="36"/>
        <v>#REF!</v>
      </c>
    </row>
    <row r="142" customHeight="1" spans="15:15">
      <c r="O142" s="37" t="e">
        <f ca="1" t="shared" si="36"/>
        <v>#REF!</v>
      </c>
    </row>
    <row r="143" customHeight="1" spans="15:15">
      <c r="O143" s="37" t="e">
        <f ca="1" t="shared" si="36"/>
        <v>#REF!</v>
      </c>
    </row>
    <row r="144" customHeight="1" spans="15:15">
      <c r="O144" s="37" t="e">
        <f ca="1" t="shared" si="36"/>
        <v>#REF!</v>
      </c>
    </row>
    <row r="145" customHeight="1" spans="15:15">
      <c r="O145" s="37" t="e">
        <f ca="1" t="shared" si="36"/>
        <v>#REF!</v>
      </c>
    </row>
    <row r="146" customHeight="1" spans="15:15">
      <c r="O146" s="37">
        <f t="shared" si="36"/>
        <v>0</v>
      </c>
    </row>
    <row r="147" customHeight="1" spans="15:15">
      <c r="O147" s="37" t="e">
        <f t="shared" si="36"/>
        <v>#VALUE!</v>
      </c>
    </row>
    <row r="148" customHeight="1" spans="15:15">
      <c r="O148" s="37">
        <f t="shared" si="36"/>
        <v>0</v>
      </c>
    </row>
    <row r="149" customHeight="1" spans="15:15">
      <c r="O149" s="37">
        <f t="shared" si="36"/>
        <v>0</v>
      </c>
    </row>
    <row r="150" customHeight="1" spans="15:15">
      <c r="O150" s="37" t="e">
        <f t="shared" si="36"/>
        <v>#VALUE!</v>
      </c>
    </row>
    <row r="151" customHeight="1" spans="15:15">
      <c r="O151" s="37">
        <f t="shared" si="36"/>
        <v>1.361</v>
      </c>
    </row>
    <row r="152" customHeight="1" spans="15:15">
      <c r="O152" s="37">
        <f t="shared" si="36"/>
        <v>0</v>
      </c>
    </row>
    <row r="153" customHeight="1" spans="15:15">
      <c r="O153" s="37">
        <f t="shared" si="36"/>
        <v>0</v>
      </c>
    </row>
    <row r="154" customHeight="1" spans="15:15">
      <c r="O154" s="37" t="e">
        <f t="shared" si="36"/>
        <v>#VALUE!</v>
      </c>
    </row>
    <row r="155" customHeight="1" spans="15:15">
      <c r="O155" s="37" t="e">
        <f ca="1" t="shared" si="36"/>
        <v>#REF!</v>
      </c>
    </row>
    <row r="156" customHeight="1" spans="15:15">
      <c r="O156" s="37" t="e">
        <f ca="1" t="shared" si="36"/>
        <v>#REF!</v>
      </c>
    </row>
    <row r="157" customHeight="1" spans="15:15">
      <c r="O157" s="37" t="e">
        <f ca="1" t="shared" si="36"/>
        <v>#REF!</v>
      </c>
    </row>
    <row r="158" customHeight="1" spans="15:15">
      <c r="O158" s="37" t="e">
        <f ca="1" t="shared" si="36"/>
        <v>#REF!</v>
      </c>
    </row>
    <row r="159" customHeight="1" spans="15:15">
      <c r="O159" s="37" t="e">
        <f ca="1" t="shared" si="36"/>
        <v>#REF!</v>
      </c>
    </row>
    <row r="160" customHeight="1" spans="15:15">
      <c r="O160" s="37" t="e">
        <f ca="1" t="shared" si="36"/>
        <v>#REF!</v>
      </c>
    </row>
    <row r="161" customHeight="1" spans="15:15">
      <c r="O161" s="37" t="e">
        <f ca="1" t="shared" si="36"/>
        <v>#REF!</v>
      </c>
    </row>
    <row r="162" customHeight="1" spans="15:15">
      <c r="O162" s="37">
        <f t="shared" si="36"/>
        <v>1.361</v>
      </c>
    </row>
    <row r="163" customHeight="1" spans="15:15">
      <c r="O163" s="37" t="e">
        <f ca="1" t="shared" si="36"/>
        <v>#REF!</v>
      </c>
    </row>
    <row r="164" customHeight="1" spans="15:15">
      <c r="O164" s="37" t="e">
        <f ca="1" t="shared" si="36"/>
        <v>#REF!</v>
      </c>
    </row>
    <row r="165" customHeight="1" spans="15:15">
      <c r="O165" s="37" t="e">
        <f ca="1" t="shared" si="36"/>
        <v>#REF!</v>
      </c>
    </row>
    <row r="166" customHeight="1" spans="15:15">
      <c r="O166" s="37" t="e">
        <f t="shared" si="36"/>
        <v>#REF!</v>
      </c>
    </row>
    <row r="167" customHeight="1" spans="15:15">
      <c r="O167" s="37" t="e">
        <f ca="1" t="shared" si="36"/>
        <v>#REF!</v>
      </c>
    </row>
    <row r="168" customHeight="1" spans="15:15">
      <c r="O168" s="37" t="e">
        <f ca="1" t="shared" si="36"/>
        <v>#REF!</v>
      </c>
    </row>
    <row r="169" customHeight="1" spans="15:15">
      <c r="O169" s="37" t="e">
        <f ca="1" t="shared" si="36"/>
        <v>#REF!</v>
      </c>
    </row>
    <row r="170" customHeight="1" spans="15:15">
      <c r="O170" s="37" t="e">
        <f ca="1" t="shared" si="36"/>
        <v>#REF!</v>
      </c>
    </row>
    <row r="171" customHeight="1" spans="15:15">
      <c r="O171" s="37" t="e">
        <f ca="1" t="shared" si="36"/>
        <v>#REF!</v>
      </c>
    </row>
    <row r="172" customHeight="1" spans="15:15">
      <c r="O172" s="37" t="e">
        <f ca="1" t="shared" si="36"/>
        <v>#REF!</v>
      </c>
    </row>
    <row r="173" customHeight="1" spans="15:15">
      <c r="O173" s="37" t="e">
        <f ca="1" t="shared" si="36"/>
        <v>#REF!</v>
      </c>
    </row>
    <row r="174" customHeight="1" spans="15:15">
      <c r="O174" s="37" t="e">
        <f ca="1" t="shared" si="36"/>
        <v>#REF!</v>
      </c>
    </row>
    <row r="175" customHeight="1" spans="15:15">
      <c r="O175" s="37" t="e">
        <f ca="1" t="shared" si="36"/>
        <v>#REF!</v>
      </c>
    </row>
    <row r="176" customHeight="1" spans="15:15">
      <c r="O176" s="37" t="e">
        <f ca="1" t="shared" si="36"/>
        <v>#REF!</v>
      </c>
    </row>
    <row r="177" customHeight="1" spans="15:15">
      <c r="O177" s="37" t="e">
        <f ca="1" t="shared" ref="O177:O184" si="37">P82+O82</f>
        <v>#REF!</v>
      </c>
    </row>
    <row r="178" customHeight="1" spans="15:15">
      <c r="O178" s="37" t="e">
        <f ca="1" t="shared" si="37"/>
        <v>#REF!</v>
      </c>
    </row>
    <row r="179" customHeight="1" spans="15:15">
      <c r="O179" s="37" t="e">
        <f ca="1" t="shared" si="37"/>
        <v>#REF!</v>
      </c>
    </row>
    <row r="180" customHeight="1" spans="15:15">
      <c r="O180" s="37" t="e">
        <f ca="1" t="shared" si="37"/>
        <v>#REF!</v>
      </c>
    </row>
    <row r="181" customHeight="1" spans="15:15">
      <c r="O181" s="37" t="e">
        <f ca="1" t="shared" si="37"/>
        <v>#REF!</v>
      </c>
    </row>
    <row r="182" customHeight="1" spans="15:15">
      <c r="O182" s="37" t="e">
        <f ca="1" t="shared" si="37"/>
        <v>#REF!</v>
      </c>
    </row>
    <row r="183" customHeight="1" spans="15:15">
      <c r="O183" s="37" t="e">
        <f ca="1" t="shared" si="37"/>
        <v>#REF!</v>
      </c>
    </row>
    <row r="184" customHeight="1" spans="15:15">
      <c r="O184" s="37" t="e">
        <f ca="1" t="shared" si="37"/>
        <v>#REF!</v>
      </c>
    </row>
  </sheetData>
  <mergeCells count="8">
    <mergeCell ref="A2:A11"/>
    <mergeCell ref="A12:A16"/>
    <mergeCell ref="A17:A41"/>
    <mergeCell ref="A42:A49"/>
    <mergeCell ref="B60:B69"/>
    <mergeCell ref="B70:B74"/>
    <mergeCell ref="B75:B99"/>
    <mergeCell ref="B100:B10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D160"/>
  <sheetViews>
    <sheetView workbookViewId="0">
      <pane xSplit="3" ySplit="4" topLeftCell="N121" activePane="bottomRight" state="frozen"/>
      <selection/>
      <selection pane="topRight"/>
      <selection pane="bottomLeft"/>
      <selection pane="bottomRight" activeCell="A106" sqref="A106:V156"/>
    </sheetView>
  </sheetViews>
  <sheetFormatPr defaultColWidth="9" defaultRowHeight="13.5"/>
  <cols>
    <col min="1" max="1" width="6" style="283" customWidth="1"/>
    <col min="2" max="2" width="17.375" style="283" customWidth="1"/>
    <col min="3" max="3" width="18" style="283" hidden="1" customWidth="1"/>
    <col min="4" max="4" width="16.375" style="283" hidden="1" customWidth="1"/>
    <col min="5" max="5" width="19.25" style="283" hidden="1" customWidth="1"/>
    <col min="6" max="6" width="18.375" style="283" hidden="1" customWidth="1"/>
    <col min="7" max="7" width="17.25" style="283" hidden="1" customWidth="1"/>
    <col min="8" max="11" width="14.625" style="283" hidden="1" customWidth="1"/>
    <col min="12" max="12" width="17.75" style="283" hidden="1" customWidth="1"/>
    <col min="13" max="14" width="16.75" style="283" hidden="1" customWidth="1"/>
    <col min="15" max="15" width="16.125" style="283" hidden="1" customWidth="1"/>
    <col min="16" max="16" width="15.5" style="283" hidden="1" customWidth="1"/>
    <col min="17" max="17" width="16.125" style="283" hidden="1" customWidth="1"/>
    <col min="18" max="18" width="17.5" style="283" hidden="1" customWidth="1"/>
    <col min="19" max="19" width="16.75" style="283" hidden="1" customWidth="1"/>
    <col min="20" max="20" width="17.25" style="284" hidden="1" customWidth="1"/>
    <col min="21" max="21" width="18.625" style="284" hidden="1" customWidth="1"/>
    <col min="22" max="27" width="17.25" style="284" customWidth="1"/>
    <col min="28" max="28" width="16.125" style="283" customWidth="1"/>
    <col min="29" max="29" width="16.25" style="283" customWidth="1"/>
    <col min="30" max="16384" width="9" style="283"/>
  </cols>
  <sheetData>
    <row r="1" s="281" customFormat="1" ht="21" customHeight="1" spans="1:29">
      <c r="A1" s="285" t="s">
        <v>87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</row>
    <row r="2" ht="14.25" spans="1:29">
      <c r="A2" s="287"/>
      <c r="B2" s="288" t="s">
        <v>88</v>
      </c>
      <c r="C2" s="289" t="s">
        <v>2</v>
      </c>
      <c r="D2" s="287">
        <f>C14-D14-E14-F14-G14-L14-T14-AB14-AC14</f>
        <v>-12246768.21</v>
      </c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303"/>
      <c r="P2" s="303"/>
      <c r="Q2" s="303"/>
      <c r="R2" s="287"/>
      <c r="S2" s="287"/>
      <c r="T2" s="304"/>
      <c r="U2" s="304"/>
      <c r="V2" s="304"/>
      <c r="W2" s="304"/>
      <c r="X2" s="304"/>
      <c r="Y2" s="304"/>
      <c r="Z2" s="304"/>
      <c r="AA2" s="304"/>
      <c r="AB2" s="287"/>
      <c r="AC2" s="287"/>
    </row>
    <row r="3" spans="1:29">
      <c r="A3" s="26" t="s">
        <v>89</v>
      </c>
      <c r="B3" s="27" t="s">
        <v>90</v>
      </c>
      <c r="C3" s="27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33" t="s">
        <v>9</v>
      </c>
      <c r="I3" s="33" t="s">
        <v>10</v>
      </c>
      <c r="J3" s="33" t="s">
        <v>11</v>
      </c>
      <c r="K3" s="33" t="s">
        <v>12</v>
      </c>
      <c r="L3" s="28" t="s">
        <v>13</v>
      </c>
      <c r="M3" s="33" t="s">
        <v>14</v>
      </c>
      <c r="N3" s="33" t="s">
        <v>15</v>
      </c>
      <c r="O3" s="33" t="s">
        <v>16</v>
      </c>
      <c r="P3" s="33" t="s">
        <v>17</v>
      </c>
      <c r="Q3" s="33" t="s">
        <v>18</v>
      </c>
      <c r="R3" s="33" t="s">
        <v>19</v>
      </c>
      <c r="S3" s="33" t="s">
        <v>20</v>
      </c>
      <c r="T3" s="27" t="s">
        <v>21</v>
      </c>
      <c r="U3" s="33" t="s">
        <v>22</v>
      </c>
      <c r="V3" s="33" t="s">
        <v>23</v>
      </c>
      <c r="W3" s="33" t="s">
        <v>24</v>
      </c>
      <c r="X3" s="33" t="s">
        <v>25</v>
      </c>
      <c r="Y3" s="33" t="s">
        <v>26</v>
      </c>
      <c r="Z3" s="33" t="s">
        <v>27</v>
      </c>
      <c r="AA3" s="33" t="s">
        <v>28</v>
      </c>
      <c r="AB3" s="28" t="s">
        <v>29</v>
      </c>
      <c r="AC3" s="28" t="s">
        <v>30</v>
      </c>
    </row>
    <row r="4" customHeight="1" spans="1:30">
      <c r="A4" s="7" t="s">
        <v>91</v>
      </c>
      <c r="B4" s="290" t="s">
        <v>92</v>
      </c>
      <c r="C4" s="291">
        <f>D4+E4+F4+G4+L4+T4</f>
        <v>217890167.97</v>
      </c>
      <c r="D4" s="291">
        <f>费用表!V3</f>
        <v>0</v>
      </c>
      <c r="E4" s="291">
        <f>SUM(费用表!C3:U3)+H4+S4+AB4+AC4</f>
        <v>70668942.42</v>
      </c>
      <c r="F4" s="291">
        <f>费用表!AE3+费用表!AB3+费用表!AA3+费用表!Z3</f>
        <v>103376237.51</v>
      </c>
      <c r="G4" s="291">
        <f>SUM(I4:K4)</f>
        <v>7024895.44</v>
      </c>
      <c r="H4" s="291">
        <f>费用表!AV3</f>
        <v>2681176.74</v>
      </c>
      <c r="I4" s="291">
        <f>费用表!AW3</f>
        <v>2424178.19</v>
      </c>
      <c r="J4" s="291">
        <f>费用表!AX3</f>
        <v>1550025.23</v>
      </c>
      <c r="K4" s="291">
        <f>费用表!AU3</f>
        <v>3050692.02</v>
      </c>
      <c r="L4" s="291">
        <f>SUM(M4:R4)</f>
        <v>11757408.25</v>
      </c>
      <c r="M4" s="291">
        <f>费用表!AG3</f>
        <v>1015467.25</v>
      </c>
      <c r="N4" s="291">
        <f>费用表!AH3</f>
        <v>1814263.33</v>
      </c>
      <c r="O4" s="291">
        <f>费用表!AL3</f>
        <v>688342.9</v>
      </c>
      <c r="P4" s="291">
        <f>费用表!AI3</f>
        <v>3922725.55</v>
      </c>
      <c r="Q4" s="291">
        <f>费用表!AK3</f>
        <v>2033546.69</v>
      </c>
      <c r="R4" s="291">
        <f>费用表!AJ3</f>
        <v>2283062.53</v>
      </c>
      <c r="S4" s="291">
        <f>费用表!AF3</f>
        <v>1755219.19</v>
      </c>
      <c r="T4" s="291">
        <f>SUM(U4:AA4)</f>
        <v>25062684.35</v>
      </c>
      <c r="U4" s="291">
        <f>费用表!AP3</f>
        <v>4409512.79</v>
      </c>
      <c r="V4" s="291">
        <f>费用表!AN3</f>
        <v>7778434.88</v>
      </c>
      <c r="W4" s="291">
        <f>费用表!AO3</f>
        <v>10245595.73</v>
      </c>
      <c r="X4" s="291">
        <f>费用表!AQ3</f>
        <v>1603504.62</v>
      </c>
      <c r="Y4" s="291">
        <f>费用表!AR3</f>
        <v>705953.92</v>
      </c>
      <c r="Z4" s="291">
        <f>费用表!AS3</f>
        <v>319682.41</v>
      </c>
      <c r="AA4" s="291">
        <f>费用表!AT3</f>
        <v>0</v>
      </c>
      <c r="AB4" s="291">
        <f>费用表!AM3</f>
        <v>3269931.81</v>
      </c>
      <c r="AC4" s="291">
        <f>费用表!AD3</f>
        <v>4181867.1</v>
      </c>
      <c r="AD4" s="291"/>
    </row>
    <row r="5" spans="1:29">
      <c r="A5" s="10"/>
      <c r="B5" s="290" t="s">
        <v>93</v>
      </c>
      <c r="C5" s="291">
        <f t="shared" ref="C5:C51" si="0">D5+E5+F5+G5+L5+T5</f>
        <v>3757415.06</v>
      </c>
      <c r="D5" s="291">
        <f>费用表!V4</f>
        <v>0</v>
      </c>
      <c r="E5" s="291">
        <f>SUM(费用表!C4:U4)+H5+S5+AB5+AC5</f>
        <v>1661815.44</v>
      </c>
      <c r="F5" s="291">
        <f>费用表!AE4+费用表!AB4+费用表!AA4+费用表!Z4</f>
        <v>1473652.51</v>
      </c>
      <c r="G5" s="291">
        <f t="shared" ref="G5:G52" si="1">SUM(I5:K5)</f>
        <v>73675.18</v>
      </c>
      <c r="H5" s="291">
        <f>费用表!AV4</f>
        <v>103225.74</v>
      </c>
      <c r="I5" s="291">
        <f>费用表!AW4</f>
        <v>64107.08</v>
      </c>
      <c r="J5" s="291">
        <f>费用表!AX4</f>
        <v>4305.68</v>
      </c>
      <c r="K5" s="291">
        <f>费用表!AU4</f>
        <v>5262.42</v>
      </c>
      <c r="L5" s="291">
        <f t="shared" ref="L5:L34" si="2">SUM(M5:R5)</f>
        <v>54772.13</v>
      </c>
      <c r="M5" s="291">
        <f>费用表!AG4</f>
        <v>6530</v>
      </c>
      <c r="N5" s="291">
        <f>费用表!AH4</f>
        <v>3395</v>
      </c>
      <c r="O5" s="291">
        <f>费用表!AL4</f>
        <v>1630</v>
      </c>
      <c r="P5" s="291">
        <f>费用表!AI4</f>
        <v>25482.6</v>
      </c>
      <c r="Q5" s="291">
        <f>费用表!AK4</f>
        <v>14583.67</v>
      </c>
      <c r="R5" s="291">
        <f>费用表!AJ4</f>
        <v>3150.86</v>
      </c>
      <c r="S5" s="291">
        <f>费用表!AF4</f>
        <v>49480.9</v>
      </c>
      <c r="T5" s="291">
        <f t="shared" ref="T5:T34" si="3">SUM(U5:AA5)</f>
        <v>493499.8</v>
      </c>
      <c r="U5" s="291">
        <f>费用表!AP4</f>
        <v>115643.41</v>
      </c>
      <c r="V5" s="291">
        <f>费用表!AN4</f>
        <v>239563.96</v>
      </c>
      <c r="W5" s="291">
        <f>费用表!AO4</f>
        <v>117394.12</v>
      </c>
      <c r="X5" s="291">
        <f>费用表!AQ4</f>
        <v>20742.12</v>
      </c>
      <c r="Y5" s="291">
        <f>费用表!AR4</f>
        <v>0</v>
      </c>
      <c r="Z5" s="291">
        <f>费用表!AS4</f>
        <v>156.19</v>
      </c>
      <c r="AA5" s="291">
        <f>费用表!AT4</f>
        <v>0</v>
      </c>
      <c r="AB5" s="291">
        <f>费用表!AM4</f>
        <v>171639.86</v>
      </c>
      <c r="AC5" s="291">
        <f>费用表!AD4</f>
        <v>157970</v>
      </c>
    </row>
    <row r="6" spans="1:29">
      <c r="A6" s="10"/>
      <c r="B6" s="290" t="s">
        <v>94</v>
      </c>
      <c r="C6" s="291">
        <f t="shared" si="0"/>
        <v>7031409.1</v>
      </c>
      <c r="D6" s="291">
        <f>费用表!V5</f>
        <v>0</v>
      </c>
      <c r="E6" s="291">
        <f>SUM(费用表!C5:U5)+H6+S6+AB6+AC6</f>
        <v>1124361.13</v>
      </c>
      <c r="F6" s="291">
        <f>费用表!AE5+费用表!AB5+费用表!AA5+费用表!Z5</f>
        <v>3477326.94</v>
      </c>
      <c r="G6" s="291">
        <f t="shared" si="1"/>
        <v>142335.36</v>
      </c>
      <c r="H6" s="291">
        <f>费用表!AV5</f>
        <v>88786.08</v>
      </c>
      <c r="I6" s="291">
        <f>费用表!AW5</f>
        <v>48735.97</v>
      </c>
      <c r="J6" s="291">
        <f>费用表!AX5</f>
        <v>31585.3</v>
      </c>
      <c r="K6" s="291">
        <f>费用表!AU5</f>
        <v>62014.09</v>
      </c>
      <c r="L6" s="291">
        <f t="shared" si="2"/>
        <v>238552.94</v>
      </c>
      <c r="M6" s="291">
        <f>费用表!AG5</f>
        <v>20154.92</v>
      </c>
      <c r="N6" s="291">
        <f>费用表!AH5</f>
        <v>37101.28</v>
      </c>
      <c r="O6" s="291">
        <f>费用表!AL5</f>
        <v>13993.65</v>
      </c>
      <c r="P6" s="291">
        <f>费用表!AI5</f>
        <v>79604.52</v>
      </c>
      <c r="Q6" s="291">
        <f>费用表!AK5</f>
        <v>41300.92</v>
      </c>
      <c r="R6" s="291">
        <f>费用表!AJ5</f>
        <v>46397.65</v>
      </c>
      <c r="S6" s="291">
        <f>费用表!AF5</f>
        <v>35499.23</v>
      </c>
      <c r="T6" s="291">
        <f t="shared" si="3"/>
        <v>2048832.73</v>
      </c>
      <c r="U6" s="291">
        <f>费用表!AP5</f>
        <v>119520.69</v>
      </c>
      <c r="V6" s="291">
        <f>费用表!AN5</f>
        <v>1544941.18</v>
      </c>
      <c r="W6" s="291">
        <f>费用表!AO5</f>
        <v>326563.75</v>
      </c>
      <c r="X6" s="291">
        <f>费用表!AQ5</f>
        <v>37294.39</v>
      </c>
      <c r="Y6" s="291">
        <f>费用表!AR5</f>
        <v>14119.08</v>
      </c>
      <c r="Z6" s="291">
        <f>费用表!AS5</f>
        <v>6393.64</v>
      </c>
      <c r="AA6" s="291">
        <f>费用表!AT5</f>
        <v>0</v>
      </c>
      <c r="AB6" s="291">
        <f>费用表!AM5</f>
        <v>65398.64</v>
      </c>
      <c r="AC6" s="291">
        <f>费用表!AD5</f>
        <v>85744.68</v>
      </c>
    </row>
    <row r="7" spans="1:29">
      <c r="A7" s="10"/>
      <c r="B7" s="290" t="s">
        <v>95</v>
      </c>
      <c r="C7" s="291">
        <f t="shared" si="0"/>
        <v>5248245.9</v>
      </c>
      <c r="D7" s="291">
        <f>费用表!V6</f>
        <v>0</v>
      </c>
      <c r="E7" s="291">
        <f>SUM(费用表!C6:U6)+H7+S7+AB7+AC7</f>
        <v>902667.09</v>
      </c>
      <c r="F7" s="291">
        <f>费用表!AE6+费用表!AB6+费用表!AA6+费用表!Z6</f>
        <v>2477923.82</v>
      </c>
      <c r="G7" s="291">
        <f t="shared" si="1"/>
        <v>115212.28</v>
      </c>
      <c r="H7" s="291">
        <f>费用表!AV6</f>
        <v>66589.56</v>
      </c>
      <c r="I7" s="291">
        <f>费用表!AW6</f>
        <v>36551.97</v>
      </c>
      <c r="J7" s="291">
        <f>费用表!AX6</f>
        <v>32149.73</v>
      </c>
      <c r="K7" s="291">
        <f>费用表!AU6</f>
        <v>46510.58</v>
      </c>
      <c r="L7" s="291">
        <f t="shared" si="2"/>
        <v>215679.32</v>
      </c>
      <c r="M7" s="291">
        <f>费用表!AG6</f>
        <v>23540</v>
      </c>
      <c r="N7" s="291">
        <f>费用表!AH6</f>
        <v>51628.35</v>
      </c>
      <c r="O7" s="291">
        <f>费用表!AL6</f>
        <v>15033.65</v>
      </c>
      <c r="P7" s="291">
        <f>费用表!AI6</f>
        <v>59703.38</v>
      </c>
      <c r="Q7" s="291">
        <f>费用表!AK6</f>
        <v>30975.7</v>
      </c>
      <c r="R7" s="291">
        <f>费用表!AJ6</f>
        <v>34798.24</v>
      </c>
      <c r="S7" s="291">
        <f>费用表!AF6</f>
        <v>26624.39</v>
      </c>
      <c r="T7" s="291">
        <f t="shared" si="3"/>
        <v>1536763.39</v>
      </c>
      <c r="U7" s="291">
        <f>费用表!AP6</f>
        <v>89779.36</v>
      </c>
      <c r="V7" s="291">
        <f>费用表!AN6</f>
        <v>1158705.88</v>
      </c>
      <c r="W7" s="291">
        <f>费用表!AO6</f>
        <v>244922.81</v>
      </c>
      <c r="X7" s="291">
        <f>费用表!AQ6</f>
        <v>27970.79</v>
      </c>
      <c r="Y7" s="291">
        <f>费用表!AR6</f>
        <v>10589.31</v>
      </c>
      <c r="Z7" s="291">
        <f>费用表!AS6</f>
        <v>4795.24</v>
      </c>
      <c r="AA7" s="291">
        <f>费用表!AT6</f>
        <v>0</v>
      </c>
      <c r="AB7" s="291">
        <f>费用表!AM6</f>
        <v>60370.62</v>
      </c>
      <c r="AC7" s="291">
        <f>费用表!AD6</f>
        <v>75427.14</v>
      </c>
    </row>
    <row r="8" spans="1:29">
      <c r="A8" s="10"/>
      <c r="B8" s="290" t="s">
        <v>96</v>
      </c>
      <c r="C8" s="291">
        <f t="shared" si="0"/>
        <v>60823300.46</v>
      </c>
      <c r="D8" s="291">
        <f>费用表!V7</f>
        <v>0</v>
      </c>
      <c r="E8" s="291">
        <f>SUM(费用表!C7:U7)+H8+S8+AB8+AC8</f>
        <v>18082412.2</v>
      </c>
      <c r="F8" s="291">
        <f>费用表!AE7+费用表!AB7+费用表!AA7+费用表!Z7</f>
        <v>31151603.78</v>
      </c>
      <c r="G8" s="291">
        <f t="shared" si="1"/>
        <v>1887702.23</v>
      </c>
      <c r="H8" s="291">
        <f>费用表!AV7</f>
        <v>835716.67</v>
      </c>
      <c r="I8" s="291">
        <f>费用表!AW7</f>
        <v>814303.43</v>
      </c>
      <c r="J8" s="291">
        <f>费用表!AX7</f>
        <v>403445.1</v>
      </c>
      <c r="K8" s="291">
        <f>费用表!AU7</f>
        <v>669953.7</v>
      </c>
      <c r="L8" s="291">
        <f t="shared" si="2"/>
        <v>2607727.57</v>
      </c>
      <c r="M8" s="291">
        <f>费用表!AG7</f>
        <v>173851.6</v>
      </c>
      <c r="N8" s="291">
        <f>费用表!AH7</f>
        <v>439549.64</v>
      </c>
      <c r="O8" s="291">
        <f>费用表!AL7</f>
        <v>135575.2</v>
      </c>
      <c r="P8" s="291">
        <f>费用表!AI7</f>
        <v>953462.84</v>
      </c>
      <c r="Q8" s="291">
        <f>费用表!AK7</f>
        <v>459381.96</v>
      </c>
      <c r="R8" s="291">
        <f>费用表!AJ7</f>
        <v>445906.33</v>
      </c>
      <c r="S8" s="291">
        <f>费用表!AF7</f>
        <v>437450.43</v>
      </c>
      <c r="T8" s="291">
        <f t="shared" si="3"/>
        <v>7093854.68</v>
      </c>
      <c r="U8" s="291">
        <f>费用表!AP7</f>
        <v>1517203.9</v>
      </c>
      <c r="V8" s="291">
        <f>费用表!AN7</f>
        <v>2421790.67</v>
      </c>
      <c r="W8" s="291">
        <f>费用表!AO7</f>
        <v>2341685.79</v>
      </c>
      <c r="X8" s="291">
        <f>费用表!AQ7</f>
        <v>413510.89</v>
      </c>
      <c r="Y8" s="291">
        <f>费用表!AR7</f>
        <v>258828.77</v>
      </c>
      <c r="Z8" s="291">
        <f>费用表!AS7</f>
        <v>140834.66</v>
      </c>
      <c r="AA8" s="291">
        <f>费用表!AT7</f>
        <v>0</v>
      </c>
      <c r="AB8" s="291">
        <f>费用表!AM7</f>
        <v>1005764.26</v>
      </c>
      <c r="AC8" s="291">
        <f>费用表!AD7</f>
        <v>1553590.99</v>
      </c>
    </row>
    <row r="9" spans="1:29">
      <c r="A9" s="10"/>
      <c r="B9" s="290" t="s">
        <v>97</v>
      </c>
      <c r="C9" s="291">
        <f t="shared" si="0"/>
        <v>359744.37</v>
      </c>
      <c r="D9" s="291">
        <f>费用表!V8</f>
        <v>0</v>
      </c>
      <c r="E9" s="291">
        <f>SUM(费用表!C8:U8)+H9+S9+AB9+AC9</f>
        <v>200000</v>
      </c>
      <c r="F9" s="291">
        <f>费用表!AE8+费用表!AB8+费用表!AA8+费用表!Z8</f>
        <v>112749</v>
      </c>
      <c r="G9" s="291">
        <f t="shared" si="1"/>
        <v>46995.37</v>
      </c>
      <c r="H9" s="291">
        <f>费用表!AV8</f>
        <v>0</v>
      </c>
      <c r="I9" s="291">
        <f>费用表!AW8</f>
        <v>0</v>
      </c>
      <c r="J9" s="291">
        <f>费用表!AX8</f>
        <v>0</v>
      </c>
      <c r="K9" s="291">
        <f>费用表!AU8</f>
        <v>46995.37</v>
      </c>
      <c r="L9" s="291">
        <f t="shared" si="2"/>
        <v>0</v>
      </c>
      <c r="M9" s="291">
        <f>费用表!AG8</f>
        <v>0</v>
      </c>
      <c r="N9" s="291">
        <f>费用表!AH8</f>
        <v>0</v>
      </c>
      <c r="O9" s="291">
        <f>费用表!AL8</f>
        <v>0</v>
      </c>
      <c r="P9" s="291">
        <f>费用表!AI8</f>
        <v>0</v>
      </c>
      <c r="Q9" s="291">
        <f>费用表!AK8</f>
        <v>0</v>
      </c>
      <c r="R9" s="291">
        <f>费用表!AJ8</f>
        <v>0</v>
      </c>
      <c r="S9" s="291">
        <f>费用表!AF8</f>
        <v>0</v>
      </c>
      <c r="T9" s="291">
        <f t="shared" si="3"/>
        <v>0</v>
      </c>
      <c r="U9" s="291">
        <f>费用表!AP8</f>
        <v>0</v>
      </c>
      <c r="V9" s="291">
        <f>费用表!AN8</f>
        <v>0</v>
      </c>
      <c r="W9" s="291">
        <f>费用表!AO8</f>
        <v>0</v>
      </c>
      <c r="X9" s="291">
        <f>费用表!AQ8</f>
        <v>0</v>
      </c>
      <c r="Y9" s="291">
        <f>费用表!AR8</f>
        <v>0</v>
      </c>
      <c r="Z9" s="291">
        <f>费用表!AS8</f>
        <v>0</v>
      </c>
      <c r="AA9" s="291">
        <f>费用表!AT8</f>
        <v>0</v>
      </c>
      <c r="AB9" s="291">
        <f>费用表!AM8</f>
        <v>0</v>
      </c>
      <c r="AC9" s="291">
        <f>费用表!AD8</f>
        <v>0</v>
      </c>
    </row>
    <row r="10" spans="1:29">
      <c r="A10" s="10"/>
      <c r="B10" s="290" t="s">
        <v>98</v>
      </c>
      <c r="C10" s="291">
        <f t="shared" si="0"/>
        <v>4298338.56</v>
      </c>
      <c r="D10" s="291">
        <f>费用表!V9</f>
        <v>0</v>
      </c>
      <c r="E10" s="291">
        <f>SUM(费用表!C9:U9)+H10+S10+AB10+AC10</f>
        <v>1129005.46</v>
      </c>
      <c r="F10" s="291">
        <f>费用表!AE9+费用表!AB9+费用表!AA9+费用表!Z9</f>
        <v>2729010.61</v>
      </c>
      <c r="G10" s="291">
        <f t="shared" si="1"/>
        <v>68934.18</v>
      </c>
      <c r="H10" s="291">
        <f>费用表!AV9</f>
        <v>63101.92</v>
      </c>
      <c r="I10" s="291">
        <f>费用表!AW9</f>
        <v>36758.97</v>
      </c>
      <c r="J10" s="291">
        <f>费用表!AX9</f>
        <v>10772.65</v>
      </c>
      <c r="K10" s="291">
        <f>费用表!AU9</f>
        <v>21402.56</v>
      </c>
      <c r="L10" s="291">
        <f t="shared" si="2"/>
        <v>108210.25</v>
      </c>
      <c r="M10" s="291">
        <f>费用表!AG9</f>
        <v>13465.81</v>
      </c>
      <c r="N10" s="291">
        <f>费用表!AH9</f>
        <v>24722.22</v>
      </c>
      <c r="O10" s="291">
        <f>费用表!AL9</f>
        <v>10772.65</v>
      </c>
      <c r="P10" s="291">
        <f>费用表!AI9</f>
        <v>32317.95</v>
      </c>
      <c r="Q10" s="291">
        <f>费用表!AK9</f>
        <v>10772.65</v>
      </c>
      <c r="R10" s="291">
        <f>费用表!AJ9</f>
        <v>16158.97</v>
      </c>
      <c r="S10" s="291">
        <f>费用表!AF9</f>
        <v>38506.83</v>
      </c>
      <c r="T10" s="291">
        <f t="shared" si="3"/>
        <v>263178.06</v>
      </c>
      <c r="U10" s="291">
        <f>费用表!AP9</f>
        <v>78437.89</v>
      </c>
      <c r="V10" s="291">
        <f>费用表!AN9</f>
        <v>117553.85</v>
      </c>
      <c r="W10" s="291">
        <f>费用表!AO9</f>
        <v>45641.02</v>
      </c>
      <c r="X10" s="291">
        <f>费用表!AQ9</f>
        <v>21545.3</v>
      </c>
      <c r="Y10" s="291">
        <f>费用表!AR9</f>
        <v>0</v>
      </c>
      <c r="Z10" s="291">
        <f>费用表!AS9</f>
        <v>0</v>
      </c>
      <c r="AA10" s="291">
        <f>费用表!AT9</f>
        <v>0</v>
      </c>
      <c r="AB10" s="291">
        <f>费用表!AM9</f>
        <v>58304.27</v>
      </c>
      <c r="AC10" s="291">
        <f>费用表!AD9</f>
        <v>164907.12</v>
      </c>
    </row>
    <row r="11" spans="1:29">
      <c r="A11" s="10"/>
      <c r="B11" s="290" t="s">
        <v>99</v>
      </c>
      <c r="C11" s="291">
        <f t="shared" si="0"/>
        <v>2730887.59</v>
      </c>
      <c r="D11" s="291">
        <f>费用表!V10</f>
        <v>0</v>
      </c>
      <c r="E11" s="291">
        <f>SUM(费用表!C10:U10)+H11+S11+AB11+AC11</f>
        <v>647008.28</v>
      </c>
      <c r="F11" s="291">
        <f>费用表!AE10+费用表!AB10+费用表!AA10+费用表!Z10</f>
        <v>1825166.21</v>
      </c>
      <c r="G11" s="291">
        <f t="shared" si="1"/>
        <v>91873.1</v>
      </c>
      <c r="H11" s="291">
        <f>费用表!AV10</f>
        <v>26120</v>
      </c>
      <c r="I11" s="291">
        <f>费用表!AW10</f>
        <v>12620</v>
      </c>
      <c r="J11" s="291">
        <f>费用表!AX10</f>
        <v>29240</v>
      </c>
      <c r="K11" s="291">
        <f>费用表!AU10</f>
        <v>50013.1</v>
      </c>
      <c r="L11" s="291">
        <f t="shared" si="2"/>
        <v>166840</v>
      </c>
      <c r="M11" s="291">
        <f>费用表!AG10</f>
        <v>-7720</v>
      </c>
      <c r="N11" s="291">
        <f>费用表!AH10</f>
        <v>40800</v>
      </c>
      <c r="O11" s="291">
        <f>费用表!AL10</f>
        <v>11340</v>
      </c>
      <c r="P11" s="291">
        <f>费用表!AI10</f>
        <v>57500</v>
      </c>
      <c r="Q11" s="291">
        <f>费用表!AK10</f>
        <v>31500</v>
      </c>
      <c r="R11" s="291">
        <f>费用表!AJ10</f>
        <v>33420</v>
      </c>
      <c r="S11" s="291">
        <f>费用表!AF10</f>
        <v>19740</v>
      </c>
      <c r="T11" s="291">
        <f t="shared" si="3"/>
        <v>0</v>
      </c>
      <c r="U11" s="291">
        <f>费用表!AP10</f>
        <v>0</v>
      </c>
      <c r="V11" s="291">
        <f>费用表!AN10</f>
        <v>0</v>
      </c>
      <c r="W11" s="291">
        <f>费用表!AO10</f>
        <v>0</v>
      </c>
      <c r="X11" s="291">
        <f>费用表!AQ10</f>
        <v>0</v>
      </c>
      <c r="Y11" s="291">
        <f>费用表!AR10</f>
        <v>0</v>
      </c>
      <c r="Z11" s="291">
        <f>费用表!AS10</f>
        <v>0</v>
      </c>
      <c r="AA11" s="291">
        <f>费用表!AT10</f>
        <v>0</v>
      </c>
      <c r="AB11" s="291">
        <f>费用表!AM10</f>
        <v>0</v>
      </c>
      <c r="AC11" s="291">
        <f>费用表!AD10</f>
        <v>105368.28</v>
      </c>
    </row>
    <row r="12" spans="1:29">
      <c r="A12" s="10"/>
      <c r="B12" s="290" t="s">
        <v>100</v>
      </c>
      <c r="C12" s="291">
        <f t="shared" si="0"/>
        <v>4184140.38</v>
      </c>
      <c r="D12" s="291">
        <f>费用表!V11</f>
        <v>0</v>
      </c>
      <c r="E12" s="291">
        <f>SUM(费用表!C11:U11)+H12+S12+AB12+AC12</f>
        <v>3278042.76</v>
      </c>
      <c r="F12" s="291">
        <f>费用表!AE11+费用表!AB11+费用表!AA11+费用表!Z11</f>
        <v>906097.62</v>
      </c>
      <c r="G12" s="291">
        <f t="shared" si="1"/>
        <v>0</v>
      </c>
      <c r="H12" s="291">
        <f>费用表!AV11</f>
        <v>0</v>
      </c>
      <c r="I12" s="291">
        <f>费用表!AW11</f>
        <v>0</v>
      </c>
      <c r="J12" s="291">
        <f>费用表!AX11</f>
        <v>0</v>
      </c>
      <c r="K12" s="291">
        <f>费用表!AU11</f>
        <v>0</v>
      </c>
      <c r="L12" s="291">
        <f t="shared" si="2"/>
        <v>0</v>
      </c>
      <c r="M12" s="291">
        <f>费用表!AG11</f>
        <v>0</v>
      </c>
      <c r="N12" s="291">
        <f>费用表!AH11</f>
        <v>0</v>
      </c>
      <c r="O12" s="291">
        <f>费用表!AL11</f>
        <v>0</v>
      </c>
      <c r="P12" s="291">
        <f>费用表!AI11</f>
        <v>0</v>
      </c>
      <c r="Q12" s="291">
        <f>费用表!AK11</f>
        <v>0</v>
      </c>
      <c r="R12" s="291">
        <f>费用表!AJ11</f>
        <v>0</v>
      </c>
      <c r="S12" s="291">
        <f>费用表!AF11</f>
        <v>417406.87</v>
      </c>
      <c r="T12" s="291">
        <f t="shared" si="3"/>
        <v>0</v>
      </c>
      <c r="U12" s="291">
        <f>费用表!AP11</f>
        <v>0</v>
      </c>
      <c r="V12" s="291">
        <f>费用表!AN11</f>
        <v>0</v>
      </c>
      <c r="W12" s="291">
        <f>费用表!AO11</f>
        <v>0</v>
      </c>
      <c r="X12" s="291">
        <f>费用表!AQ11</f>
        <v>0</v>
      </c>
      <c r="Y12" s="291">
        <f>费用表!AR11</f>
        <v>0</v>
      </c>
      <c r="Z12" s="291">
        <f>费用表!AS11</f>
        <v>0</v>
      </c>
      <c r="AA12" s="291">
        <f>费用表!AT11</f>
        <v>0</v>
      </c>
      <c r="AB12" s="291">
        <f>费用表!AM11</f>
        <v>131349.48</v>
      </c>
      <c r="AC12" s="291">
        <f>费用表!AD11</f>
        <v>1159133.96</v>
      </c>
    </row>
    <row r="13" spans="1:29">
      <c r="A13" s="10"/>
      <c r="B13" s="290" t="s">
        <v>101</v>
      </c>
      <c r="C13" s="291">
        <f t="shared" si="0"/>
        <v>18717459.08</v>
      </c>
      <c r="D13" s="291">
        <f>费用表!V12</f>
        <v>0</v>
      </c>
      <c r="E13" s="291">
        <f>SUM(费用表!C12:U12)+H13+S13+AB13+AC13</f>
        <v>18717459.08</v>
      </c>
      <c r="F13" s="291">
        <f>费用表!AE12+费用表!AB12+费用表!AA12+费用表!Z12</f>
        <v>0</v>
      </c>
      <c r="G13" s="291">
        <f t="shared" si="1"/>
        <v>0</v>
      </c>
      <c r="H13" s="292">
        <f>费用表!AV12</f>
        <v>1217459.08</v>
      </c>
      <c r="I13" s="291">
        <f>费用表!AW12</f>
        <v>0</v>
      </c>
      <c r="J13" s="291">
        <f>费用表!AX12</f>
        <v>0</v>
      </c>
      <c r="K13" s="291">
        <f>费用表!AU12</f>
        <v>0</v>
      </c>
      <c r="L13" s="291">
        <f t="shared" si="2"/>
        <v>0</v>
      </c>
      <c r="M13" s="291">
        <f>费用表!AG12</f>
        <v>0</v>
      </c>
      <c r="N13" s="291">
        <f>费用表!AH12</f>
        <v>0</v>
      </c>
      <c r="O13" s="291">
        <f>费用表!AL12</f>
        <v>0</v>
      </c>
      <c r="P13" s="291">
        <f>费用表!AI12</f>
        <v>0</v>
      </c>
      <c r="Q13" s="291">
        <f>费用表!AK12</f>
        <v>0</v>
      </c>
      <c r="R13" s="291">
        <f>费用表!AJ12</f>
        <v>0</v>
      </c>
      <c r="S13" s="291">
        <f>费用表!AF12</f>
        <v>0</v>
      </c>
      <c r="T13" s="291">
        <f t="shared" si="3"/>
        <v>0</v>
      </c>
      <c r="U13" s="291">
        <f>费用表!AP12</f>
        <v>0</v>
      </c>
      <c r="V13" s="291">
        <f>费用表!AN12</f>
        <v>0</v>
      </c>
      <c r="W13" s="291">
        <f>费用表!AO12</f>
        <v>0</v>
      </c>
      <c r="X13" s="291">
        <f>费用表!AQ12</f>
        <v>0</v>
      </c>
      <c r="Y13" s="291">
        <f>费用表!AR12</f>
        <v>0</v>
      </c>
      <c r="Z13" s="291">
        <f>费用表!AS12</f>
        <v>0</v>
      </c>
      <c r="AA13" s="291">
        <f>费用表!AT12</f>
        <v>0</v>
      </c>
      <c r="AB13" s="291">
        <f>费用表!AM12</f>
        <v>0</v>
      </c>
      <c r="AC13" s="291">
        <f>费用表!AD12</f>
        <v>0</v>
      </c>
    </row>
    <row r="14" spans="1:29">
      <c r="A14" s="12"/>
      <c r="B14" s="293" t="s">
        <v>102</v>
      </c>
      <c r="C14" s="291">
        <f t="shared" si="0"/>
        <v>325041108.47</v>
      </c>
      <c r="D14" s="294">
        <f>费用表!V13</f>
        <v>0</v>
      </c>
      <c r="E14" s="294">
        <f>SUM(费用表!C13:U13)+H14+S14+AB14+AC14</f>
        <v>116411713.86</v>
      </c>
      <c r="F14" s="294">
        <f>费用表!AE13+费用表!AB13+费用表!AA13+费用表!Z13</f>
        <v>147529768</v>
      </c>
      <c r="G14" s="291">
        <f t="shared" si="1"/>
        <v>9451623.14</v>
      </c>
      <c r="H14" s="294">
        <f>费用表!AV13</f>
        <v>5082175.79</v>
      </c>
      <c r="I14" s="294">
        <f>费用表!AW13</f>
        <v>3437255.61</v>
      </c>
      <c r="J14" s="294">
        <f>费用表!AX13</f>
        <v>2061523.69</v>
      </c>
      <c r="K14" s="294">
        <f>费用表!AU13</f>
        <v>3952843.84</v>
      </c>
      <c r="L14" s="291">
        <f t="shared" si="2"/>
        <v>15149190.46</v>
      </c>
      <c r="M14" s="294">
        <f>费用表!AG13</f>
        <v>1245289.58</v>
      </c>
      <c r="N14" s="294">
        <f>费用表!AH13</f>
        <v>2411459.82</v>
      </c>
      <c r="O14" s="294">
        <f>费用表!AL13</f>
        <v>876688.05</v>
      </c>
      <c r="P14" s="294">
        <f>费用表!AI13</f>
        <v>5130796.84</v>
      </c>
      <c r="Q14" s="294">
        <f>费用表!AK13</f>
        <v>2622061.59</v>
      </c>
      <c r="R14" s="294">
        <f>费用表!AJ13</f>
        <v>2862894.58</v>
      </c>
      <c r="S14" s="294">
        <f>费用表!AF13</f>
        <v>2779927.84</v>
      </c>
      <c r="T14" s="291">
        <f t="shared" si="3"/>
        <v>36498813.01</v>
      </c>
      <c r="U14" s="294">
        <f>费用表!AP13</f>
        <v>6330098.04</v>
      </c>
      <c r="V14" s="294">
        <f>费用表!AN13</f>
        <v>13260990.42</v>
      </c>
      <c r="W14" s="294">
        <f>费用表!AO13</f>
        <v>13321803.22</v>
      </c>
      <c r="X14" s="294">
        <f>费用表!AQ13</f>
        <v>2124568.11</v>
      </c>
      <c r="Y14" s="294">
        <f>费用表!AR13</f>
        <v>989491.08</v>
      </c>
      <c r="Z14" s="294">
        <f>费用表!AS13</f>
        <v>471862.14</v>
      </c>
      <c r="AA14" s="294">
        <f>费用表!AT13</f>
        <v>0</v>
      </c>
      <c r="AB14" s="294">
        <f>费用表!AM13</f>
        <v>4762758.94</v>
      </c>
      <c r="AC14" s="294">
        <f>费用表!AD13</f>
        <v>7484009.27</v>
      </c>
    </row>
    <row r="15" customHeight="1" spans="1:29">
      <c r="A15" s="14" t="s">
        <v>103</v>
      </c>
      <c r="B15" s="290" t="s">
        <v>104</v>
      </c>
      <c r="C15" s="291">
        <f t="shared" si="0"/>
        <v>106768217.3</v>
      </c>
      <c r="D15" s="291">
        <f>费用表!V14</f>
        <v>0</v>
      </c>
      <c r="E15" s="291">
        <f>SUM(费用表!C14:U14)+H15+S15+AB15+AC15</f>
        <v>514548</v>
      </c>
      <c r="F15" s="291">
        <f>费用表!AE14+费用表!AB14+费用表!AA14+费用表!Z14</f>
        <v>28861875.27</v>
      </c>
      <c r="G15" s="291">
        <f t="shared" si="1"/>
        <v>0</v>
      </c>
      <c r="H15" s="292">
        <f>费用表!AV14</f>
        <v>514548</v>
      </c>
      <c r="I15" s="291">
        <f>费用表!AW14</f>
        <v>0</v>
      </c>
      <c r="J15" s="291">
        <f>费用表!AX14</f>
        <v>0</v>
      </c>
      <c r="K15" s="291">
        <f>费用表!AU14</f>
        <v>0</v>
      </c>
      <c r="L15" s="291">
        <f t="shared" si="2"/>
        <v>3400</v>
      </c>
      <c r="M15" s="291">
        <f>费用表!AG14</f>
        <v>0</v>
      </c>
      <c r="N15" s="291">
        <f>费用表!AH14</f>
        <v>0</v>
      </c>
      <c r="O15" s="291">
        <f>费用表!AL14</f>
        <v>0</v>
      </c>
      <c r="P15" s="291">
        <f>费用表!AI14</f>
        <v>0</v>
      </c>
      <c r="Q15" s="291">
        <f>费用表!AK14</f>
        <v>0</v>
      </c>
      <c r="R15" s="291">
        <f>费用表!AJ14</f>
        <v>3400</v>
      </c>
      <c r="S15" s="291">
        <f>费用表!AF14</f>
        <v>0</v>
      </c>
      <c r="T15" s="291">
        <f t="shared" si="3"/>
        <v>77388394.03</v>
      </c>
      <c r="U15" s="291">
        <f>费用表!AP14</f>
        <v>1575963</v>
      </c>
      <c r="V15" s="291">
        <f>费用表!AN14</f>
        <v>69468624.31</v>
      </c>
      <c r="W15" s="291">
        <f>费用表!AO14</f>
        <v>6082591.72</v>
      </c>
      <c r="X15" s="291">
        <f>费用表!AQ14</f>
        <v>261215</v>
      </c>
      <c r="Y15" s="291">
        <f>费用表!AR14</f>
        <v>0</v>
      </c>
      <c r="Z15" s="291">
        <f>费用表!AS14</f>
        <v>0</v>
      </c>
      <c r="AA15" s="291">
        <f>费用表!AT14</f>
        <v>0</v>
      </c>
      <c r="AB15" s="291">
        <f>费用表!AM14</f>
        <v>0</v>
      </c>
      <c r="AC15" s="291">
        <f>费用表!AD14</f>
        <v>0</v>
      </c>
    </row>
    <row r="16" spans="1:29">
      <c r="A16" s="16"/>
      <c r="B16" s="290" t="s">
        <v>105</v>
      </c>
      <c r="C16" s="291">
        <f t="shared" si="0"/>
        <v>68087630.73</v>
      </c>
      <c r="D16" s="291">
        <f>费用表!V15</f>
        <v>0</v>
      </c>
      <c r="E16" s="291">
        <f>SUM(费用表!C15:U15)+H16+S16+AB16+AC16</f>
        <v>13236.87</v>
      </c>
      <c r="F16" s="291">
        <f>费用表!AE15+费用表!AB15+费用表!AA15+费用表!Z15</f>
        <v>63585244.49</v>
      </c>
      <c r="G16" s="291">
        <f t="shared" si="1"/>
        <v>0</v>
      </c>
      <c r="H16" s="291">
        <f>费用表!AV15</f>
        <v>0</v>
      </c>
      <c r="I16" s="291">
        <f>费用表!AW15</f>
        <v>0</v>
      </c>
      <c r="J16" s="291">
        <f>费用表!AX15</f>
        <v>0</v>
      </c>
      <c r="K16" s="291">
        <f>费用表!AU15</f>
        <v>0</v>
      </c>
      <c r="L16" s="291">
        <f t="shared" si="2"/>
        <v>0</v>
      </c>
      <c r="M16" s="291">
        <f>费用表!AG15</f>
        <v>0</v>
      </c>
      <c r="N16" s="291">
        <f>费用表!AH15</f>
        <v>0</v>
      </c>
      <c r="O16" s="291">
        <f>费用表!AL15</f>
        <v>0</v>
      </c>
      <c r="P16" s="291">
        <f>费用表!AI15</f>
        <v>0</v>
      </c>
      <c r="Q16" s="291">
        <f>费用表!AK15</f>
        <v>0</v>
      </c>
      <c r="R16" s="291">
        <f>费用表!AJ15</f>
        <v>0</v>
      </c>
      <c r="S16" s="291">
        <f>费用表!AF15</f>
        <v>0</v>
      </c>
      <c r="T16" s="291">
        <f t="shared" si="3"/>
        <v>4489149.37</v>
      </c>
      <c r="U16" s="291">
        <f>费用表!AP15</f>
        <v>745041</v>
      </c>
      <c r="V16" s="291">
        <f>费用表!AN15</f>
        <v>791537.1</v>
      </c>
      <c r="W16" s="291">
        <f>费用表!AO15</f>
        <v>2731704.85</v>
      </c>
      <c r="X16" s="291">
        <f>费用表!AQ15</f>
        <v>220866.42</v>
      </c>
      <c r="Y16" s="291">
        <f>费用表!AR15</f>
        <v>0</v>
      </c>
      <c r="Z16" s="291">
        <f>费用表!AS15</f>
        <v>0</v>
      </c>
      <c r="AA16" s="291">
        <f>费用表!AT15</f>
        <v>0</v>
      </c>
      <c r="AB16" s="291">
        <f>费用表!AM15</f>
        <v>0</v>
      </c>
      <c r="AC16" s="291">
        <f>费用表!AD15</f>
        <v>13236.87</v>
      </c>
    </row>
    <row r="17" spans="1:29">
      <c r="A17" s="16"/>
      <c r="B17" s="290" t="s">
        <v>106</v>
      </c>
      <c r="C17" s="291">
        <f t="shared" si="0"/>
        <v>20379642.35</v>
      </c>
      <c r="D17" s="291">
        <f>费用表!V16</f>
        <v>63161.8</v>
      </c>
      <c r="E17" s="291">
        <f>SUM(费用表!C16:U16)+H17+S17+AB17+AC17</f>
        <v>-4484468.25</v>
      </c>
      <c r="F17" s="291">
        <f>费用表!AE16+费用表!AB16+费用表!AA16+费用表!Z16</f>
        <v>16034750.81</v>
      </c>
      <c r="G17" s="291">
        <f t="shared" si="1"/>
        <v>-410614.99</v>
      </c>
      <c r="H17" s="291">
        <f>费用表!AV16</f>
        <v>232760.04</v>
      </c>
      <c r="I17" s="291">
        <f>费用表!AW16</f>
        <v>-794605.5</v>
      </c>
      <c r="J17" s="291">
        <f>费用表!AX16</f>
        <v>301013.5</v>
      </c>
      <c r="K17" s="291">
        <f>费用表!AU16</f>
        <v>82977.01</v>
      </c>
      <c r="L17" s="291">
        <f t="shared" si="2"/>
        <v>4230668.12</v>
      </c>
      <c r="M17" s="291">
        <f>费用表!AG16</f>
        <v>966496.13</v>
      </c>
      <c r="N17" s="291">
        <f>费用表!AH16</f>
        <v>705020.85</v>
      </c>
      <c r="O17" s="291">
        <f>费用表!AL16</f>
        <v>74975.97</v>
      </c>
      <c r="P17" s="291">
        <f>费用表!AI16</f>
        <v>1105602.23</v>
      </c>
      <c r="Q17" s="291">
        <f>费用表!AK16</f>
        <v>1564981.82</v>
      </c>
      <c r="R17" s="291">
        <f>费用表!AJ16</f>
        <v>-186408.88</v>
      </c>
      <c r="S17" s="291">
        <f>费用表!AF16</f>
        <v>155.78</v>
      </c>
      <c r="T17" s="291">
        <f t="shared" si="3"/>
        <v>4946144.86</v>
      </c>
      <c r="U17" s="291">
        <f>费用表!AP16</f>
        <v>383852.94</v>
      </c>
      <c r="V17" s="291">
        <f>费用表!AN16</f>
        <v>3997832.51</v>
      </c>
      <c r="W17" s="291">
        <f>费用表!AO16</f>
        <v>497090.02</v>
      </c>
      <c r="X17" s="291">
        <f>费用表!AQ16</f>
        <v>67369.39</v>
      </c>
      <c r="Y17" s="291">
        <f>费用表!AR16</f>
        <v>0</v>
      </c>
      <c r="Z17" s="291">
        <f>费用表!AS16</f>
        <v>0</v>
      </c>
      <c r="AA17" s="291">
        <f>费用表!AT16</f>
        <v>0</v>
      </c>
      <c r="AB17" s="291">
        <f>费用表!AM16</f>
        <v>9344.96</v>
      </c>
      <c r="AC17" s="291">
        <f>费用表!AD16</f>
        <v>2.99</v>
      </c>
    </row>
    <row r="18" spans="1:29">
      <c r="A18" s="16"/>
      <c r="B18" s="290" t="s">
        <v>107</v>
      </c>
      <c r="C18" s="291">
        <f t="shared" si="0"/>
        <v>739699.23</v>
      </c>
      <c r="D18" s="291">
        <f>费用表!V17</f>
        <v>0</v>
      </c>
      <c r="E18" s="291">
        <f>SUM(费用表!C17:U17)+H18+S18+AB18+AC18</f>
        <v>348900</v>
      </c>
      <c r="F18" s="291">
        <f>费用表!AE17+费用表!AB17+费用表!AA17+费用表!Z17</f>
        <v>390799.23</v>
      </c>
      <c r="G18" s="291">
        <f t="shared" si="1"/>
        <v>0</v>
      </c>
      <c r="H18" s="291">
        <f>费用表!AV17</f>
        <v>0</v>
      </c>
      <c r="I18" s="291">
        <f>费用表!AW17</f>
        <v>0</v>
      </c>
      <c r="J18" s="291">
        <f>费用表!AX17</f>
        <v>0</v>
      </c>
      <c r="K18" s="291">
        <f>费用表!AU17</f>
        <v>0</v>
      </c>
      <c r="L18" s="291">
        <f t="shared" si="2"/>
        <v>0</v>
      </c>
      <c r="M18" s="291">
        <f>费用表!AG17</f>
        <v>0</v>
      </c>
      <c r="N18" s="291">
        <f>费用表!AH17</f>
        <v>0</v>
      </c>
      <c r="O18" s="291">
        <f>费用表!AL17</f>
        <v>0</v>
      </c>
      <c r="P18" s="291">
        <f>费用表!AI17</f>
        <v>0</v>
      </c>
      <c r="Q18" s="291">
        <f>费用表!AK17</f>
        <v>0</v>
      </c>
      <c r="R18" s="291">
        <f>费用表!AJ17</f>
        <v>0</v>
      </c>
      <c r="S18" s="291">
        <f>费用表!AF17</f>
        <v>0</v>
      </c>
      <c r="T18" s="291">
        <f t="shared" si="3"/>
        <v>0</v>
      </c>
      <c r="U18" s="291">
        <f>费用表!AP17</f>
        <v>0</v>
      </c>
      <c r="V18" s="291">
        <f>费用表!AN17</f>
        <v>0</v>
      </c>
      <c r="W18" s="291">
        <f>费用表!AO17</f>
        <v>0</v>
      </c>
      <c r="X18" s="291">
        <f>费用表!AQ17</f>
        <v>0</v>
      </c>
      <c r="Y18" s="291">
        <f>费用表!AR17</f>
        <v>0</v>
      </c>
      <c r="Z18" s="291">
        <f>费用表!AS17</f>
        <v>0</v>
      </c>
      <c r="AA18" s="291">
        <f>费用表!AT17</f>
        <v>0</v>
      </c>
      <c r="AB18" s="291">
        <f>费用表!AM17</f>
        <v>0</v>
      </c>
      <c r="AC18" s="291">
        <f>费用表!AD17</f>
        <v>0</v>
      </c>
    </row>
    <row r="19" spans="1:29">
      <c r="A19" s="16"/>
      <c r="B19" s="290" t="s">
        <v>108</v>
      </c>
      <c r="C19" s="291">
        <f t="shared" si="0"/>
        <v>14069543.86</v>
      </c>
      <c r="D19" s="291">
        <f>费用表!V18</f>
        <v>0</v>
      </c>
      <c r="E19" s="291">
        <f>SUM(费用表!C18:U18)+H19+S19+AB19+AC19</f>
        <v>666488.06</v>
      </c>
      <c r="F19" s="291">
        <f>费用表!AE18+费用表!AB18+费用表!AA18+费用表!Z18</f>
        <v>12892627.04</v>
      </c>
      <c r="G19" s="291">
        <f t="shared" si="1"/>
        <v>99757.74</v>
      </c>
      <c r="H19" s="291">
        <f>费用表!AV18</f>
        <v>666488.06</v>
      </c>
      <c r="I19" s="291">
        <f>费用表!AW18</f>
        <v>0</v>
      </c>
      <c r="J19" s="291">
        <f>费用表!AX18</f>
        <v>0</v>
      </c>
      <c r="K19" s="291">
        <f>费用表!AU18</f>
        <v>99757.74</v>
      </c>
      <c r="L19" s="291">
        <f t="shared" si="2"/>
        <v>410671.02</v>
      </c>
      <c r="M19" s="291">
        <f>费用表!AG18</f>
        <v>48333.34</v>
      </c>
      <c r="N19" s="291">
        <f>费用表!AH18</f>
        <v>44937.1</v>
      </c>
      <c r="O19" s="291">
        <f>费用表!AL18</f>
        <v>18333.33</v>
      </c>
      <c r="P19" s="291">
        <f>费用表!AI18</f>
        <v>163102.45</v>
      </c>
      <c r="Q19" s="291">
        <f>费用表!AK18</f>
        <v>60303.22</v>
      </c>
      <c r="R19" s="291">
        <f>费用表!AJ18</f>
        <v>75661.58</v>
      </c>
      <c r="S19" s="291">
        <f>费用表!AF18</f>
        <v>0</v>
      </c>
      <c r="T19" s="291">
        <f t="shared" si="3"/>
        <v>0</v>
      </c>
      <c r="U19" s="291">
        <f>费用表!AP18</f>
        <v>0</v>
      </c>
      <c r="V19" s="291">
        <f>费用表!AN18</f>
        <v>0</v>
      </c>
      <c r="W19" s="291">
        <f>费用表!AO18</f>
        <v>0</v>
      </c>
      <c r="X19" s="291">
        <f>费用表!AQ18</f>
        <v>0</v>
      </c>
      <c r="Y19" s="291">
        <f>费用表!AR18</f>
        <v>0</v>
      </c>
      <c r="Z19" s="291">
        <f>费用表!AS18</f>
        <v>0</v>
      </c>
      <c r="AA19" s="291">
        <f>费用表!AT18</f>
        <v>0</v>
      </c>
      <c r="AB19" s="291">
        <f>费用表!AM18</f>
        <v>0</v>
      </c>
      <c r="AC19" s="291">
        <f>费用表!AD18</f>
        <v>0</v>
      </c>
    </row>
    <row r="20" spans="1:29">
      <c r="A20" s="17"/>
      <c r="B20" s="293" t="s">
        <v>102</v>
      </c>
      <c r="C20" s="291">
        <f t="shared" si="0"/>
        <v>210044733.47</v>
      </c>
      <c r="D20" s="294">
        <f>费用表!V19</f>
        <v>63161.8</v>
      </c>
      <c r="E20" s="294">
        <f>SUM(费用表!C19:U19)+H20+S20+AB20+AC20</f>
        <v>-2941295.32</v>
      </c>
      <c r="F20" s="294">
        <f>费用表!AE19+费用表!AB19+费用表!AA19+费用表!Z19</f>
        <v>121765296.84</v>
      </c>
      <c r="G20" s="291">
        <f t="shared" si="1"/>
        <v>-310857.25</v>
      </c>
      <c r="H20" s="294">
        <f>费用表!AV19</f>
        <v>1413796.1</v>
      </c>
      <c r="I20" s="294">
        <f>费用表!AW19</f>
        <v>-794605.5</v>
      </c>
      <c r="J20" s="294">
        <f>费用表!AX19</f>
        <v>301013.5</v>
      </c>
      <c r="K20" s="294">
        <f>费用表!AU19</f>
        <v>182734.75</v>
      </c>
      <c r="L20" s="291">
        <f t="shared" si="2"/>
        <v>4644739.14</v>
      </c>
      <c r="M20" s="294">
        <f>费用表!AG19</f>
        <v>1014829.47</v>
      </c>
      <c r="N20" s="294">
        <f>费用表!AH19</f>
        <v>749957.95</v>
      </c>
      <c r="O20" s="294">
        <f>费用表!AL19</f>
        <v>93309.3</v>
      </c>
      <c r="P20" s="294">
        <f>费用表!AI19</f>
        <v>1268704.68</v>
      </c>
      <c r="Q20" s="294">
        <f>费用表!AK19</f>
        <v>1625285.04</v>
      </c>
      <c r="R20" s="294">
        <f>费用表!AJ19</f>
        <v>-107347.3</v>
      </c>
      <c r="S20" s="294">
        <f>费用表!AF19</f>
        <v>155.78</v>
      </c>
      <c r="T20" s="291">
        <f t="shared" si="3"/>
        <v>86823688.26</v>
      </c>
      <c r="U20" s="294">
        <f>费用表!AP19</f>
        <v>2704856.94</v>
      </c>
      <c r="V20" s="294">
        <f>费用表!AN19</f>
        <v>74257993.92</v>
      </c>
      <c r="W20" s="294">
        <f>费用表!AO19</f>
        <v>9311386.59</v>
      </c>
      <c r="X20" s="294">
        <f>费用表!AQ19</f>
        <v>549450.81</v>
      </c>
      <c r="Y20" s="294">
        <f>费用表!AR19</f>
        <v>0</v>
      </c>
      <c r="Z20" s="294">
        <f>费用表!AS19</f>
        <v>0</v>
      </c>
      <c r="AA20" s="294">
        <f>费用表!AT19</f>
        <v>0</v>
      </c>
      <c r="AB20" s="294">
        <f>费用表!AM19</f>
        <v>9344.96</v>
      </c>
      <c r="AC20" s="294">
        <f>费用表!AD19</f>
        <v>13239.86</v>
      </c>
    </row>
    <row r="21" customHeight="1" spans="1:29">
      <c r="A21" s="18" t="s">
        <v>109</v>
      </c>
      <c r="B21" s="290" t="s">
        <v>110</v>
      </c>
      <c r="C21" s="291">
        <f t="shared" si="0"/>
        <v>28247185.26</v>
      </c>
      <c r="D21" s="291">
        <f>费用表!V20</f>
        <v>0</v>
      </c>
      <c r="E21" s="291">
        <f>SUM(费用表!C20:U20)+H21+S21+AB21+AC21</f>
        <v>4266266.66</v>
      </c>
      <c r="F21" s="291">
        <f>费用表!AE20+费用表!AB20+费用表!AA20+费用表!Z20</f>
        <v>14166282.24</v>
      </c>
      <c r="G21" s="291">
        <f t="shared" si="1"/>
        <v>833722.4</v>
      </c>
      <c r="H21" s="291">
        <f>费用表!AV20</f>
        <v>318929.66</v>
      </c>
      <c r="I21" s="291">
        <f>费用表!AW20</f>
        <v>415231.08</v>
      </c>
      <c r="J21" s="291">
        <f>费用表!AX20</f>
        <v>107515.31</v>
      </c>
      <c r="K21" s="291">
        <f>费用表!AU20</f>
        <v>310976.01</v>
      </c>
      <c r="L21" s="291">
        <f t="shared" si="2"/>
        <v>1102668.03</v>
      </c>
      <c r="M21" s="291">
        <f>费用表!AG20</f>
        <v>140897.15</v>
      </c>
      <c r="N21" s="291">
        <f>费用表!AH20</f>
        <v>176535.27</v>
      </c>
      <c r="O21" s="291">
        <f>费用表!AL20</f>
        <v>166215.65</v>
      </c>
      <c r="P21" s="291">
        <f>费用表!AI20</f>
        <v>253244.19</v>
      </c>
      <c r="Q21" s="291">
        <f>费用表!AK20</f>
        <v>188856.93</v>
      </c>
      <c r="R21" s="291">
        <f>费用表!AJ20</f>
        <v>176918.84</v>
      </c>
      <c r="S21" s="291">
        <f>费用表!AF20</f>
        <v>198351.91</v>
      </c>
      <c r="T21" s="291">
        <f t="shared" si="3"/>
        <v>7878245.93</v>
      </c>
      <c r="U21" s="291">
        <f>费用表!AP20</f>
        <v>658944.43</v>
      </c>
      <c r="V21" s="291">
        <f>费用表!AN20</f>
        <v>5019917.26</v>
      </c>
      <c r="W21" s="291">
        <f>费用表!AO20</f>
        <v>1432391.64</v>
      </c>
      <c r="X21" s="291">
        <f>费用表!AQ20</f>
        <v>310007.38</v>
      </c>
      <c r="Y21" s="291">
        <f>费用表!AR20</f>
        <v>421726.66</v>
      </c>
      <c r="Z21" s="291">
        <f>费用表!AS20</f>
        <v>35258.56</v>
      </c>
      <c r="AA21" s="291">
        <f>费用表!AT20</f>
        <v>0</v>
      </c>
      <c r="AB21" s="291">
        <f>费用表!AM20</f>
        <v>372733.03</v>
      </c>
      <c r="AC21" s="291">
        <f>费用表!AD20</f>
        <v>210057.29</v>
      </c>
    </row>
    <row r="22" spans="1:29">
      <c r="A22" s="19"/>
      <c r="B22" s="290" t="s">
        <v>111</v>
      </c>
      <c r="C22" s="291">
        <f t="shared" si="0"/>
        <v>17304570.67</v>
      </c>
      <c r="D22" s="291">
        <f>费用表!V21</f>
        <v>0</v>
      </c>
      <c r="E22" s="291">
        <f>SUM(费用表!C21:U21)+H22+S22+AB22+AC22</f>
        <v>3155608</v>
      </c>
      <c r="F22" s="291">
        <f>费用表!AE21+费用表!AB21+费用表!AA21+费用表!Z21</f>
        <v>3181453.69</v>
      </c>
      <c r="G22" s="291">
        <f t="shared" si="1"/>
        <v>563188.87</v>
      </c>
      <c r="H22" s="291">
        <f>费用表!AV21</f>
        <v>184656.27</v>
      </c>
      <c r="I22" s="291">
        <f>费用表!AW21</f>
        <v>234311.83</v>
      </c>
      <c r="J22" s="291">
        <f>费用表!AX21</f>
        <v>73121.25</v>
      </c>
      <c r="K22" s="291">
        <f>费用表!AU21</f>
        <v>255755.79</v>
      </c>
      <c r="L22" s="291">
        <f t="shared" si="2"/>
        <v>937639.35</v>
      </c>
      <c r="M22" s="291">
        <f>费用表!AG21</f>
        <v>115429.51</v>
      </c>
      <c r="N22" s="291">
        <f>费用表!AH21</f>
        <v>130151.12</v>
      </c>
      <c r="O22" s="291">
        <f>费用表!AL21</f>
        <v>137435.14</v>
      </c>
      <c r="P22" s="291">
        <f>费用表!AI21</f>
        <v>146228.64</v>
      </c>
      <c r="Q22" s="291">
        <f>费用表!AK21</f>
        <v>225712.81</v>
      </c>
      <c r="R22" s="291">
        <f>费用表!AJ21</f>
        <v>182682.13</v>
      </c>
      <c r="S22" s="291">
        <f>费用表!AF21</f>
        <v>174468.59</v>
      </c>
      <c r="T22" s="291">
        <f t="shared" si="3"/>
        <v>9466680.76</v>
      </c>
      <c r="U22" s="291">
        <f>费用表!AP21</f>
        <v>914649.77</v>
      </c>
      <c r="V22" s="291">
        <f>费用表!AN21</f>
        <v>5605644.49</v>
      </c>
      <c r="W22" s="291">
        <f>费用表!AO21</f>
        <v>1589523.03</v>
      </c>
      <c r="X22" s="291">
        <f>费用表!AQ21</f>
        <v>330015.05</v>
      </c>
      <c r="Y22" s="291">
        <f>费用表!AR21</f>
        <v>918172.66</v>
      </c>
      <c r="Z22" s="291">
        <f>费用表!AS21</f>
        <v>108675.76</v>
      </c>
      <c r="AA22" s="291">
        <f>费用表!AT21</f>
        <v>0</v>
      </c>
      <c r="AB22" s="291">
        <f>费用表!AM21</f>
        <v>531368.93</v>
      </c>
      <c r="AC22" s="291">
        <f>费用表!AD21</f>
        <v>81952.88</v>
      </c>
    </row>
    <row r="23" spans="1:29">
      <c r="A23" s="19"/>
      <c r="B23" s="290" t="s">
        <v>112</v>
      </c>
      <c r="C23" s="291">
        <f t="shared" si="0"/>
        <v>5445154.72</v>
      </c>
      <c r="D23" s="291">
        <f>费用表!V22</f>
        <v>0</v>
      </c>
      <c r="E23" s="291">
        <f>SUM(费用表!C22:U22)+H23+S23+AB23+AC23</f>
        <v>1767190.07</v>
      </c>
      <c r="F23" s="291">
        <f>费用表!AE22+费用表!AB22+费用表!AA22+费用表!Z22</f>
        <v>2329913.85</v>
      </c>
      <c r="G23" s="291">
        <f t="shared" si="1"/>
        <v>113046.76</v>
      </c>
      <c r="H23" s="291">
        <f>费用表!AV22</f>
        <v>112239.65</v>
      </c>
      <c r="I23" s="291">
        <f>费用表!AW22</f>
        <v>95208.26</v>
      </c>
      <c r="J23" s="291">
        <f>费用表!AX22</f>
        <v>7837.3</v>
      </c>
      <c r="K23" s="291">
        <f>费用表!AU22</f>
        <v>10001.2</v>
      </c>
      <c r="L23" s="291">
        <f t="shared" si="2"/>
        <v>82600.36</v>
      </c>
      <c r="M23" s="291">
        <f>费用表!AG22</f>
        <v>7721.7</v>
      </c>
      <c r="N23" s="291">
        <f>费用表!AH22</f>
        <v>13853.79</v>
      </c>
      <c r="O23" s="291">
        <f>费用表!AL22</f>
        <v>7422.19</v>
      </c>
      <c r="P23" s="291">
        <f>费用表!AI22</f>
        <v>17914.93</v>
      </c>
      <c r="Q23" s="291">
        <f>费用表!AK22</f>
        <v>9764.87</v>
      </c>
      <c r="R23" s="291">
        <f>费用表!AJ22</f>
        <v>25922.88</v>
      </c>
      <c r="S23" s="291">
        <f>费用表!AF22</f>
        <v>5058.6</v>
      </c>
      <c r="T23" s="291">
        <f t="shared" si="3"/>
        <v>1152403.68</v>
      </c>
      <c r="U23" s="291">
        <f>费用表!AP22</f>
        <v>139099.41</v>
      </c>
      <c r="V23" s="291">
        <f>费用表!AN22</f>
        <v>709392</v>
      </c>
      <c r="W23" s="291">
        <f>费用表!AO22</f>
        <v>245659.2</v>
      </c>
      <c r="X23" s="291">
        <f>费用表!AQ22</f>
        <v>33136.58</v>
      </c>
      <c r="Y23" s="291">
        <f>费用表!AR22</f>
        <v>23946.09</v>
      </c>
      <c r="Z23" s="291">
        <f>费用表!AS22</f>
        <v>1170.4</v>
      </c>
      <c r="AA23" s="291">
        <f>费用表!AT22</f>
        <v>0</v>
      </c>
      <c r="AB23" s="291">
        <f>费用表!AM22</f>
        <v>98927.42</v>
      </c>
      <c r="AC23" s="291">
        <f>费用表!AD22</f>
        <v>42975.75</v>
      </c>
    </row>
    <row r="24" spans="1:29">
      <c r="A24" s="19"/>
      <c r="B24" s="290" t="s">
        <v>113</v>
      </c>
      <c r="C24" s="291">
        <f t="shared" si="0"/>
        <v>2484628.05</v>
      </c>
      <c r="D24" s="291">
        <f>费用表!V23</f>
        <v>0</v>
      </c>
      <c r="E24" s="291">
        <f>SUM(费用表!C23:U23)+H24+S24+AB24+AC24</f>
        <v>597556.57</v>
      </c>
      <c r="F24" s="291">
        <f>费用表!AE23+费用表!AB23+费用表!AA23+费用表!Z23</f>
        <v>1317991.01</v>
      </c>
      <c r="G24" s="291">
        <f t="shared" si="1"/>
        <v>24094.14</v>
      </c>
      <c r="H24" s="291">
        <f>费用表!AV23</f>
        <v>59996.33</v>
      </c>
      <c r="I24" s="291">
        <f>费用表!AW23</f>
        <v>13115.89</v>
      </c>
      <c r="J24" s="291">
        <f>费用表!AX23</f>
        <v>6152.23</v>
      </c>
      <c r="K24" s="291">
        <f>费用表!AU23</f>
        <v>4826.02</v>
      </c>
      <c r="L24" s="291">
        <f t="shared" si="2"/>
        <v>16941.14</v>
      </c>
      <c r="M24" s="291">
        <f>费用表!AG23</f>
        <v>2466.31</v>
      </c>
      <c r="N24" s="291">
        <f>费用表!AH23</f>
        <v>4265.32</v>
      </c>
      <c r="O24" s="291">
        <f>费用表!AL23</f>
        <v>2466.32</v>
      </c>
      <c r="P24" s="291">
        <f>费用表!AI23</f>
        <v>717.45</v>
      </c>
      <c r="Q24" s="291">
        <f>费用表!AK23</f>
        <v>719.76</v>
      </c>
      <c r="R24" s="291">
        <f>费用表!AJ23</f>
        <v>6305.98</v>
      </c>
      <c r="S24" s="291">
        <f>费用表!AF23</f>
        <v>7677.36</v>
      </c>
      <c r="T24" s="291">
        <f t="shared" si="3"/>
        <v>528045.19</v>
      </c>
      <c r="U24" s="291">
        <f>费用表!AP23</f>
        <v>44869.64</v>
      </c>
      <c r="V24" s="291">
        <f>费用表!AN23</f>
        <v>331033.37</v>
      </c>
      <c r="W24" s="291">
        <f>费用表!AO23</f>
        <v>140366.23</v>
      </c>
      <c r="X24" s="291">
        <f>费用表!AQ23</f>
        <v>10407.95</v>
      </c>
      <c r="Y24" s="291">
        <f>费用表!AR23</f>
        <v>1368</v>
      </c>
      <c r="Z24" s="291">
        <f>费用表!AS23</f>
        <v>0</v>
      </c>
      <c r="AA24" s="291">
        <f>费用表!AT23</f>
        <v>0</v>
      </c>
      <c r="AB24" s="291">
        <f>费用表!AM23</f>
        <v>43208.91</v>
      </c>
      <c r="AC24" s="291">
        <f>费用表!AD23</f>
        <v>28370.02</v>
      </c>
    </row>
    <row r="25" spans="1:29">
      <c r="A25" s="19"/>
      <c r="B25" s="290" t="s">
        <v>114</v>
      </c>
      <c r="C25" s="291">
        <f t="shared" si="0"/>
        <v>5518750.13</v>
      </c>
      <c r="D25" s="291">
        <f>费用表!V24</f>
        <v>0</v>
      </c>
      <c r="E25" s="291">
        <f>SUM(费用表!C24:U24)+H25+S25+AB25+AC25</f>
        <v>2732392.1</v>
      </c>
      <c r="F25" s="291">
        <f>费用表!AE24+费用表!AB24+费用表!AA24+费用表!Z24</f>
        <v>2785339.16</v>
      </c>
      <c r="G25" s="291">
        <f t="shared" si="1"/>
        <v>0</v>
      </c>
      <c r="H25" s="291">
        <f>费用表!AV24</f>
        <v>120.76</v>
      </c>
      <c r="I25" s="291">
        <f>费用表!AW24</f>
        <v>0</v>
      </c>
      <c r="J25" s="291">
        <f>费用表!AX24</f>
        <v>0</v>
      </c>
      <c r="K25" s="291">
        <f>费用表!AU24</f>
        <v>0</v>
      </c>
      <c r="L25" s="291">
        <f t="shared" si="2"/>
        <v>7.55</v>
      </c>
      <c r="M25" s="291">
        <f>费用表!AG24</f>
        <v>0</v>
      </c>
      <c r="N25" s="291">
        <f>费用表!AH24</f>
        <v>0</v>
      </c>
      <c r="O25" s="291">
        <f>费用表!AL24</f>
        <v>0</v>
      </c>
      <c r="P25" s="291">
        <f>费用表!AI24</f>
        <v>7.55</v>
      </c>
      <c r="Q25" s="291">
        <f>费用表!AK24</f>
        <v>0</v>
      </c>
      <c r="R25" s="291">
        <f>费用表!AJ24</f>
        <v>0</v>
      </c>
      <c r="S25" s="291">
        <f>费用表!AF24</f>
        <v>1132.08</v>
      </c>
      <c r="T25" s="291">
        <f t="shared" si="3"/>
        <v>1011.32</v>
      </c>
      <c r="U25" s="291">
        <f>费用表!AP24</f>
        <v>271.7</v>
      </c>
      <c r="V25" s="291">
        <f>费用表!AN24</f>
        <v>384.91</v>
      </c>
      <c r="W25" s="291">
        <f>费用表!AO24</f>
        <v>286.79</v>
      </c>
      <c r="X25" s="291">
        <f>费用表!AQ24</f>
        <v>67.92</v>
      </c>
      <c r="Y25" s="291">
        <f>费用表!AR24</f>
        <v>0</v>
      </c>
      <c r="Z25" s="291">
        <f>费用表!AS24</f>
        <v>0</v>
      </c>
      <c r="AA25" s="291">
        <f>费用表!AT24</f>
        <v>0</v>
      </c>
      <c r="AB25" s="291">
        <f>费用表!AM24</f>
        <v>113.21</v>
      </c>
      <c r="AC25" s="291">
        <f>费用表!AD24</f>
        <v>1160.75</v>
      </c>
    </row>
    <row r="26" spans="1:29">
      <c r="A26" s="19"/>
      <c r="B26" s="290" t="s">
        <v>115</v>
      </c>
      <c r="C26" s="291">
        <f t="shared" si="0"/>
        <v>5276122.38</v>
      </c>
      <c r="D26" s="291">
        <f>费用表!V25</f>
        <v>0</v>
      </c>
      <c r="E26" s="291">
        <f>SUM(费用表!C25:U25)+H26+S26+AB26+AC26</f>
        <v>1476240.16</v>
      </c>
      <c r="F26" s="291">
        <f>费用表!AE25+费用表!AB25+费用表!AA25+费用表!Z25</f>
        <v>1906405.05</v>
      </c>
      <c r="G26" s="291">
        <f t="shared" si="1"/>
        <v>1365062.29</v>
      </c>
      <c r="H26" s="291">
        <f>费用表!AV25</f>
        <v>346400.97</v>
      </c>
      <c r="I26" s="291">
        <f>费用表!AW25</f>
        <v>275724.08</v>
      </c>
      <c r="J26" s="291">
        <f>费用表!AX25</f>
        <v>0</v>
      </c>
      <c r="K26" s="291">
        <f>费用表!AU25</f>
        <v>1089338.21</v>
      </c>
      <c r="L26" s="291">
        <f t="shared" si="2"/>
        <v>295209.68</v>
      </c>
      <c r="M26" s="291">
        <f>费用表!AG25</f>
        <v>98233.54</v>
      </c>
      <c r="N26" s="291">
        <f>费用表!AH25</f>
        <v>51063.74</v>
      </c>
      <c r="O26" s="291">
        <f>费用表!AL25</f>
        <v>21879.74</v>
      </c>
      <c r="P26" s="291">
        <f>费用表!AI25</f>
        <v>91553.87</v>
      </c>
      <c r="Q26" s="291">
        <f>费用表!AK25</f>
        <v>24126.19</v>
      </c>
      <c r="R26" s="291">
        <f>费用表!AJ25</f>
        <v>8352.6</v>
      </c>
      <c r="S26" s="291">
        <f>费用表!AF25</f>
        <v>7296</v>
      </c>
      <c r="T26" s="291">
        <f t="shared" si="3"/>
        <v>233205.2</v>
      </c>
      <c r="U26" s="291">
        <f>费用表!AP25</f>
        <v>204021.2</v>
      </c>
      <c r="V26" s="291">
        <f>费用表!AN25</f>
        <v>14592</v>
      </c>
      <c r="W26" s="291">
        <f>费用表!AO25</f>
        <v>14592</v>
      </c>
      <c r="X26" s="291">
        <f>费用表!AQ25</f>
        <v>0</v>
      </c>
      <c r="Y26" s="291">
        <f>费用表!AR25</f>
        <v>0</v>
      </c>
      <c r="Z26" s="291">
        <f>费用表!AS25</f>
        <v>0</v>
      </c>
      <c r="AA26" s="291">
        <f>费用表!AT25</f>
        <v>0</v>
      </c>
      <c r="AB26" s="291">
        <f>费用表!AM25</f>
        <v>14592</v>
      </c>
      <c r="AC26" s="291">
        <f>费用表!AD25</f>
        <v>0</v>
      </c>
    </row>
    <row r="27" spans="1:29">
      <c r="A27" s="19"/>
      <c r="B27" s="290" t="s">
        <v>116</v>
      </c>
      <c r="C27" s="291">
        <f t="shared" si="0"/>
        <v>3147810.66</v>
      </c>
      <c r="D27" s="291">
        <f>费用表!V26</f>
        <v>0</v>
      </c>
      <c r="E27" s="291">
        <f>SUM(费用表!C26:U26)+H27+S27+AB27+AC27</f>
        <v>1420789.44</v>
      </c>
      <c r="F27" s="291">
        <f>费用表!AE26+费用表!AB26+费用表!AA26+费用表!Z26</f>
        <v>1120398.97</v>
      </c>
      <c r="G27" s="291">
        <f t="shared" si="1"/>
        <v>66574.18</v>
      </c>
      <c r="H27" s="291">
        <f>费用表!AV26</f>
        <v>0</v>
      </c>
      <c r="I27" s="291">
        <f>费用表!AW26</f>
        <v>0</v>
      </c>
      <c r="J27" s="291">
        <f>费用表!AX26</f>
        <v>66574.18</v>
      </c>
      <c r="K27" s="291">
        <f>费用表!AU26</f>
        <v>0</v>
      </c>
      <c r="L27" s="291">
        <f t="shared" si="2"/>
        <v>225473.93</v>
      </c>
      <c r="M27" s="291">
        <f>费用表!AG26</f>
        <v>69995.47</v>
      </c>
      <c r="N27" s="291">
        <f>费用表!AH26</f>
        <v>86304.28</v>
      </c>
      <c r="O27" s="291">
        <f>费用表!AL26</f>
        <v>69174.18</v>
      </c>
      <c r="P27" s="291">
        <f>费用表!AI26</f>
        <v>0</v>
      </c>
      <c r="Q27" s="291">
        <f>费用表!AK26</f>
        <v>0</v>
      </c>
      <c r="R27" s="291">
        <f>费用表!AJ26</f>
        <v>0</v>
      </c>
      <c r="S27" s="291">
        <f>费用表!AF26</f>
        <v>0</v>
      </c>
      <c r="T27" s="291">
        <f t="shared" si="3"/>
        <v>314574.14</v>
      </c>
      <c r="U27" s="291">
        <f>费用表!AP26</f>
        <v>56942.35</v>
      </c>
      <c r="V27" s="291">
        <f>费用表!AN26</f>
        <v>178079.36</v>
      </c>
      <c r="W27" s="291">
        <f>费用表!AO26</f>
        <v>65316.84</v>
      </c>
      <c r="X27" s="291">
        <f>费用表!AQ26</f>
        <v>14235.59</v>
      </c>
      <c r="Y27" s="291">
        <f>费用表!AR26</f>
        <v>0</v>
      </c>
      <c r="Z27" s="291">
        <f>费用表!AS26</f>
        <v>0</v>
      </c>
      <c r="AA27" s="291">
        <f>费用表!AT26</f>
        <v>0</v>
      </c>
      <c r="AB27" s="291">
        <f>费用表!AM26</f>
        <v>34773.51</v>
      </c>
      <c r="AC27" s="291">
        <f>费用表!AD26</f>
        <v>37294.42</v>
      </c>
    </row>
    <row r="28" spans="1:29">
      <c r="A28" s="19"/>
      <c r="B28" s="290" t="s">
        <v>117</v>
      </c>
      <c r="C28" s="291">
        <f t="shared" si="0"/>
        <v>1090342.72</v>
      </c>
      <c r="D28" s="291">
        <f>费用表!V27</f>
        <v>0</v>
      </c>
      <c r="E28" s="291">
        <f>SUM(费用表!C27:U27)+H28+S28+AB28+AC28</f>
        <v>213922.84</v>
      </c>
      <c r="F28" s="291">
        <f>费用表!AE27+费用表!AB27+费用表!AA27+费用表!Z27</f>
        <v>532972.38</v>
      </c>
      <c r="G28" s="291">
        <f t="shared" si="1"/>
        <v>4949.58</v>
      </c>
      <c r="H28" s="291">
        <f>费用表!AV27</f>
        <v>26396</v>
      </c>
      <c r="I28" s="291">
        <f>费用表!AW27</f>
        <v>1747.58</v>
      </c>
      <c r="J28" s="291">
        <f>费用表!AX27</f>
        <v>453</v>
      </c>
      <c r="K28" s="291">
        <f>费用表!AU27</f>
        <v>2749</v>
      </c>
      <c r="L28" s="291">
        <f t="shared" si="2"/>
        <v>11052.08</v>
      </c>
      <c r="M28" s="291">
        <f>费用表!AG27</f>
        <v>1694.34</v>
      </c>
      <c r="N28" s="291">
        <f>费用表!AH27</f>
        <v>2460.33</v>
      </c>
      <c r="O28" s="291">
        <f>费用表!AL27</f>
        <v>1563.33</v>
      </c>
      <c r="P28" s="291">
        <f>费用表!AI27</f>
        <v>2305.08</v>
      </c>
      <c r="Q28" s="291">
        <f>费用表!AK27</f>
        <v>1643</v>
      </c>
      <c r="R28" s="291">
        <f>费用表!AJ27</f>
        <v>1386</v>
      </c>
      <c r="S28" s="291">
        <f>费用表!AF27</f>
        <v>7562.41</v>
      </c>
      <c r="T28" s="291">
        <f t="shared" si="3"/>
        <v>327445.84</v>
      </c>
      <c r="U28" s="291">
        <f>费用表!AP27</f>
        <v>14943.02</v>
      </c>
      <c r="V28" s="291">
        <f>费用表!AN27</f>
        <v>238294.78</v>
      </c>
      <c r="W28" s="291">
        <f>费用表!AO27</f>
        <v>59150.63</v>
      </c>
      <c r="X28" s="291">
        <f>费用表!AQ27</f>
        <v>3823.2</v>
      </c>
      <c r="Y28" s="291">
        <f>费用表!AR27</f>
        <v>8896.96</v>
      </c>
      <c r="Z28" s="291">
        <f>费用表!AS27</f>
        <v>2337.25</v>
      </c>
      <c r="AA28" s="291">
        <f>费用表!AT27</f>
        <v>0</v>
      </c>
      <c r="AB28" s="291">
        <f>费用表!AM27</f>
        <v>34757.28</v>
      </c>
      <c r="AC28" s="291">
        <f>费用表!AD27</f>
        <v>1799.75</v>
      </c>
    </row>
    <row r="29" spans="1:29">
      <c r="A29" s="19"/>
      <c r="B29" s="290" t="s">
        <v>118</v>
      </c>
      <c r="C29" s="291">
        <f t="shared" si="0"/>
        <v>391609.47</v>
      </c>
      <c r="D29" s="291">
        <f>费用表!V28</f>
        <v>0</v>
      </c>
      <c r="E29" s="291">
        <f>SUM(费用表!C28:U28)+H29+S29+AB29+AC29</f>
        <v>87730.79</v>
      </c>
      <c r="F29" s="291">
        <f>费用表!AE28+费用表!AB28+费用表!AA28+费用表!Z28</f>
        <v>280644.78</v>
      </c>
      <c r="G29" s="291">
        <f t="shared" si="1"/>
        <v>3180.69</v>
      </c>
      <c r="H29" s="291">
        <f>费用表!AV28</f>
        <v>1705.25</v>
      </c>
      <c r="I29" s="291">
        <f>费用表!AW28</f>
        <v>1315.65</v>
      </c>
      <c r="J29" s="291">
        <f>费用表!AX28</f>
        <v>798</v>
      </c>
      <c r="K29" s="291">
        <f>费用表!AU28</f>
        <v>1067.04</v>
      </c>
      <c r="L29" s="291">
        <f t="shared" si="2"/>
        <v>8733.85</v>
      </c>
      <c r="M29" s="291">
        <f>费用表!AG28</f>
        <v>818.66</v>
      </c>
      <c r="N29" s="291">
        <f>费用表!AH28</f>
        <v>317.17</v>
      </c>
      <c r="O29" s="291">
        <f>费用表!AL28</f>
        <v>870.67</v>
      </c>
      <c r="P29" s="291">
        <f>费用表!AI28</f>
        <v>3566.8</v>
      </c>
      <c r="Q29" s="291">
        <f>费用表!AK28</f>
        <v>1900.15</v>
      </c>
      <c r="R29" s="291">
        <f>费用表!AJ28</f>
        <v>1260.4</v>
      </c>
      <c r="S29" s="291">
        <f>费用表!AF28</f>
        <v>6676.6</v>
      </c>
      <c r="T29" s="291">
        <f t="shared" si="3"/>
        <v>11319.36</v>
      </c>
      <c r="U29" s="291">
        <f>费用表!AP28</f>
        <v>862.52</v>
      </c>
      <c r="V29" s="291">
        <f>费用表!AN28</f>
        <v>4339</v>
      </c>
      <c r="W29" s="291">
        <f>费用表!AO28</f>
        <v>2512.82</v>
      </c>
      <c r="X29" s="291">
        <f>费用表!AQ28</f>
        <v>1130.63</v>
      </c>
      <c r="Y29" s="291">
        <f>费用表!AR28</f>
        <v>2474.39</v>
      </c>
      <c r="Z29" s="291">
        <f>费用表!AS28</f>
        <v>0</v>
      </c>
      <c r="AA29" s="291">
        <f>费用表!AT28</f>
        <v>0</v>
      </c>
      <c r="AB29" s="291">
        <f>费用表!AM28</f>
        <v>2464</v>
      </c>
      <c r="AC29" s="291">
        <f>费用表!AD28</f>
        <v>6242.5</v>
      </c>
    </row>
    <row r="30" spans="1:29">
      <c r="A30" s="19"/>
      <c r="B30" s="290" t="s">
        <v>119</v>
      </c>
      <c r="C30" s="291">
        <f t="shared" si="0"/>
        <v>999319.46</v>
      </c>
      <c r="D30" s="291">
        <f>费用表!V29</f>
        <v>0</v>
      </c>
      <c r="E30" s="291">
        <f>SUM(费用表!C29:U29)+H30+S30+AB30+AC30</f>
        <v>283921.42</v>
      </c>
      <c r="F30" s="291">
        <f>费用表!AE29+费用表!AB29+费用表!AA29+费用表!Z29</f>
        <v>359974.13</v>
      </c>
      <c r="G30" s="291">
        <f t="shared" si="1"/>
        <v>39970.13</v>
      </c>
      <c r="H30" s="291">
        <f>费用表!AV29</f>
        <v>26469.26</v>
      </c>
      <c r="I30" s="291">
        <f>费用表!AW29</f>
        <v>5229.15</v>
      </c>
      <c r="J30" s="291">
        <f>费用表!AX29</f>
        <v>3121.03</v>
      </c>
      <c r="K30" s="291">
        <f>费用表!AU29</f>
        <v>31619.95</v>
      </c>
      <c r="L30" s="291">
        <f t="shared" si="2"/>
        <v>60930.43</v>
      </c>
      <c r="M30" s="291">
        <f>费用表!AG29</f>
        <v>3097.41</v>
      </c>
      <c r="N30" s="291">
        <f>费用表!AH29</f>
        <v>4979.8</v>
      </c>
      <c r="O30" s="291">
        <f>费用表!AL29</f>
        <v>4172.91</v>
      </c>
      <c r="P30" s="291">
        <f>费用表!AI29</f>
        <v>4085.61</v>
      </c>
      <c r="Q30" s="291">
        <f>费用表!AK29</f>
        <v>7968.74</v>
      </c>
      <c r="R30" s="291">
        <f>费用表!AJ29</f>
        <v>36625.96</v>
      </c>
      <c r="S30" s="291">
        <f>费用表!AF29</f>
        <v>11334.26</v>
      </c>
      <c r="T30" s="291">
        <f t="shared" si="3"/>
        <v>254523.35</v>
      </c>
      <c r="U30" s="291">
        <f>费用表!AP29</f>
        <v>74748.12</v>
      </c>
      <c r="V30" s="291">
        <f>费用表!AN29</f>
        <v>71192.67</v>
      </c>
      <c r="W30" s="291">
        <f>费用表!AO29</f>
        <v>60831.99</v>
      </c>
      <c r="X30" s="291">
        <f>费用表!AQ29</f>
        <v>27350.46</v>
      </c>
      <c r="Y30" s="291">
        <f>费用表!AR29</f>
        <v>15182.11</v>
      </c>
      <c r="Z30" s="291">
        <f>费用表!AS29</f>
        <v>5218</v>
      </c>
      <c r="AA30" s="291">
        <f>费用表!AT29</f>
        <v>0</v>
      </c>
      <c r="AB30" s="291">
        <f>费用表!AM29</f>
        <v>14688.72</v>
      </c>
      <c r="AC30" s="291">
        <f>费用表!AD29</f>
        <v>4656.98</v>
      </c>
    </row>
    <row r="31" spans="1:29">
      <c r="A31" s="19"/>
      <c r="B31" s="290" t="s">
        <v>120</v>
      </c>
      <c r="C31" s="291">
        <f t="shared" si="0"/>
        <v>3652475.26</v>
      </c>
      <c r="D31" s="291">
        <f>费用表!V30</f>
        <v>0</v>
      </c>
      <c r="E31" s="291">
        <f>SUM(费用表!C30:U30)+H31+S31+AB31+AC31</f>
        <v>991786.29</v>
      </c>
      <c r="F31" s="291">
        <f>费用表!AE30+费用表!AB30+费用表!AA30+费用表!Z30</f>
        <v>2576320.77</v>
      </c>
      <c r="G31" s="291">
        <f t="shared" si="1"/>
        <v>45338.3</v>
      </c>
      <c r="H31" s="291">
        <f>费用表!AV30</f>
        <v>32369</v>
      </c>
      <c r="I31" s="291">
        <f>费用表!AW30</f>
        <v>35193</v>
      </c>
      <c r="J31" s="291">
        <f>费用表!AX30</f>
        <v>10145.3</v>
      </c>
      <c r="K31" s="291">
        <f>费用表!AU30</f>
        <v>0</v>
      </c>
      <c r="L31" s="291">
        <f t="shared" si="2"/>
        <v>33318.9</v>
      </c>
      <c r="M31" s="291">
        <f>费用表!AG30</f>
        <v>10145.3</v>
      </c>
      <c r="N31" s="291">
        <f>费用表!AH30</f>
        <v>13028.3</v>
      </c>
      <c r="O31" s="291">
        <f>费用表!AL30</f>
        <v>10145.3</v>
      </c>
      <c r="P31" s="291">
        <f>费用表!AI30</f>
        <v>0</v>
      </c>
      <c r="Q31" s="291">
        <f>费用表!AK30</f>
        <v>0</v>
      </c>
      <c r="R31" s="291">
        <f>费用表!AJ30</f>
        <v>0</v>
      </c>
      <c r="S31" s="291">
        <f>费用表!AF30</f>
        <v>156086.89</v>
      </c>
      <c r="T31" s="291">
        <f t="shared" si="3"/>
        <v>5711</v>
      </c>
      <c r="U31" s="291">
        <f>费用表!AP30</f>
        <v>0</v>
      </c>
      <c r="V31" s="291">
        <f>费用表!AN30</f>
        <v>1857</v>
      </c>
      <c r="W31" s="291">
        <f>费用表!AO30</f>
        <v>3854</v>
      </c>
      <c r="X31" s="291">
        <f>费用表!AQ30</f>
        <v>0</v>
      </c>
      <c r="Y31" s="291">
        <f>费用表!AR30</f>
        <v>0</v>
      </c>
      <c r="Z31" s="291">
        <f>费用表!AS30</f>
        <v>0</v>
      </c>
      <c r="AA31" s="291">
        <f>费用表!AT30</f>
        <v>0</v>
      </c>
      <c r="AB31" s="291">
        <f>费用表!AM30</f>
        <v>23165.68</v>
      </c>
      <c r="AC31" s="291">
        <f>费用表!AD30</f>
        <v>0</v>
      </c>
    </row>
    <row r="32" spans="1:29">
      <c r="A32" s="19"/>
      <c r="B32" s="290" t="s">
        <v>121</v>
      </c>
      <c r="C32" s="291">
        <f t="shared" si="0"/>
        <v>7043137.27</v>
      </c>
      <c r="D32" s="291">
        <f>费用表!V31</f>
        <v>0</v>
      </c>
      <c r="E32" s="291">
        <f>SUM(费用表!C31:U31)+H32+S32+AB32+AC32</f>
        <v>0</v>
      </c>
      <c r="F32" s="291">
        <f>费用表!AE31+费用表!AB31+费用表!AA31+费用表!Z31</f>
        <v>7043137.27</v>
      </c>
      <c r="G32" s="291">
        <f t="shared" si="1"/>
        <v>0</v>
      </c>
      <c r="H32" s="291">
        <f>费用表!AV31</f>
        <v>0</v>
      </c>
      <c r="I32" s="291">
        <f>费用表!AW31</f>
        <v>0</v>
      </c>
      <c r="J32" s="291">
        <f>费用表!AX31</f>
        <v>0</v>
      </c>
      <c r="K32" s="291">
        <f>费用表!AU31</f>
        <v>0</v>
      </c>
      <c r="L32" s="291">
        <f t="shared" si="2"/>
        <v>0</v>
      </c>
      <c r="M32" s="291">
        <f>费用表!AG31</f>
        <v>0</v>
      </c>
      <c r="N32" s="291">
        <f>费用表!AH31</f>
        <v>0</v>
      </c>
      <c r="O32" s="291">
        <f>费用表!AL31</f>
        <v>0</v>
      </c>
      <c r="P32" s="291">
        <f>费用表!AI31</f>
        <v>0</v>
      </c>
      <c r="Q32" s="291">
        <f>费用表!AK31</f>
        <v>0</v>
      </c>
      <c r="R32" s="291">
        <f>费用表!AJ31</f>
        <v>0</v>
      </c>
      <c r="S32" s="291">
        <f>费用表!AF31</f>
        <v>0</v>
      </c>
      <c r="T32" s="291">
        <f t="shared" si="3"/>
        <v>0</v>
      </c>
      <c r="U32" s="291">
        <f>费用表!AP31</f>
        <v>0</v>
      </c>
      <c r="V32" s="291">
        <f>费用表!AN31</f>
        <v>0</v>
      </c>
      <c r="W32" s="291">
        <f>费用表!AO31</f>
        <v>0</v>
      </c>
      <c r="X32" s="291">
        <f>费用表!AQ31</f>
        <v>0</v>
      </c>
      <c r="Y32" s="291">
        <f>费用表!AR31</f>
        <v>0</v>
      </c>
      <c r="Z32" s="291">
        <f>费用表!AS31</f>
        <v>0</v>
      </c>
      <c r="AA32" s="291">
        <f>费用表!AT31</f>
        <v>0</v>
      </c>
      <c r="AB32" s="291">
        <f>费用表!AM31</f>
        <v>0</v>
      </c>
      <c r="AC32" s="291">
        <f>费用表!AD31</f>
        <v>0</v>
      </c>
    </row>
    <row r="33" spans="1:29">
      <c r="A33" s="19"/>
      <c r="B33" s="290" t="s">
        <v>122</v>
      </c>
      <c r="C33" s="291">
        <f t="shared" si="0"/>
        <v>126112.92</v>
      </c>
      <c r="D33" s="291">
        <f>费用表!V32</f>
        <v>0</v>
      </c>
      <c r="E33" s="291">
        <f>SUM(费用表!C32:U32)+H33+S33+AB33+AC33</f>
        <v>66055.72</v>
      </c>
      <c r="F33" s="291">
        <f>费用表!AE32+费用表!AB32+费用表!AA32+费用表!Z32</f>
        <v>60057.2</v>
      </c>
      <c r="G33" s="291">
        <f t="shared" si="1"/>
        <v>0</v>
      </c>
      <c r="H33" s="291">
        <f>费用表!AV32</f>
        <v>0</v>
      </c>
      <c r="I33" s="291">
        <f>费用表!AW32</f>
        <v>0</v>
      </c>
      <c r="J33" s="291">
        <f>费用表!AX32</f>
        <v>0</v>
      </c>
      <c r="K33" s="291">
        <f>费用表!AU32</f>
        <v>0</v>
      </c>
      <c r="L33" s="291">
        <f t="shared" si="2"/>
        <v>0</v>
      </c>
      <c r="M33" s="291">
        <f>费用表!AG32</f>
        <v>0</v>
      </c>
      <c r="N33" s="291">
        <f>费用表!AH32</f>
        <v>0</v>
      </c>
      <c r="O33" s="291">
        <f>费用表!AL32</f>
        <v>0</v>
      </c>
      <c r="P33" s="291">
        <f>费用表!AI32</f>
        <v>0</v>
      </c>
      <c r="Q33" s="291">
        <f>费用表!AK32</f>
        <v>0</v>
      </c>
      <c r="R33" s="291">
        <f>费用表!AJ32</f>
        <v>0</v>
      </c>
      <c r="S33" s="291">
        <f>费用表!AF32</f>
        <v>400</v>
      </c>
      <c r="T33" s="291">
        <f t="shared" si="3"/>
        <v>0</v>
      </c>
      <c r="U33" s="291">
        <f>费用表!AP32</f>
        <v>0</v>
      </c>
      <c r="V33" s="291">
        <f>费用表!AN32</f>
        <v>0</v>
      </c>
      <c r="W33" s="291">
        <f>费用表!AO32</f>
        <v>0</v>
      </c>
      <c r="X33" s="291">
        <f>费用表!AQ32</f>
        <v>0</v>
      </c>
      <c r="Y33" s="291">
        <f>费用表!AR32</f>
        <v>0</v>
      </c>
      <c r="Z33" s="291">
        <f>费用表!AS32</f>
        <v>0</v>
      </c>
      <c r="AA33" s="291">
        <f>费用表!AT32</f>
        <v>0</v>
      </c>
      <c r="AB33" s="291">
        <f>费用表!AM32</f>
        <v>0</v>
      </c>
      <c r="AC33" s="291">
        <f>费用表!AD32</f>
        <v>65655.72</v>
      </c>
    </row>
    <row r="34" spans="1:29">
      <c r="A34" s="20"/>
      <c r="B34" s="293" t="s">
        <v>102</v>
      </c>
      <c r="C34" s="291">
        <f t="shared" si="0"/>
        <v>80727218.97</v>
      </c>
      <c r="D34" s="294">
        <f>费用表!V33</f>
        <v>0</v>
      </c>
      <c r="E34" s="294">
        <f>SUM(费用表!C33:U33)+H34+S34+AB34+AC34</f>
        <v>17059460.06</v>
      </c>
      <c r="F34" s="294">
        <f>费用表!AE33+费用表!AB33+费用表!AA33+费用表!Z33</f>
        <v>37660890.5</v>
      </c>
      <c r="G34" s="291">
        <f t="shared" si="1"/>
        <v>3059127.34</v>
      </c>
      <c r="H34" s="294">
        <f>费用表!AV33</f>
        <v>1109283.15</v>
      </c>
      <c r="I34" s="294">
        <f>费用表!AW33</f>
        <v>1077076.52</v>
      </c>
      <c r="J34" s="294">
        <f>费用表!AX33</f>
        <v>275717.6</v>
      </c>
      <c r="K34" s="294">
        <f>费用表!AU33</f>
        <v>1706333.22</v>
      </c>
      <c r="L34" s="291">
        <f t="shared" si="2"/>
        <v>2774575.3</v>
      </c>
      <c r="M34" s="294">
        <f>费用表!AG33</f>
        <v>450499.39</v>
      </c>
      <c r="N34" s="294">
        <f>费用表!AH33</f>
        <v>482959.12</v>
      </c>
      <c r="O34" s="294">
        <f>费用表!AL33</f>
        <v>421345.43</v>
      </c>
      <c r="P34" s="294">
        <f>费用表!AI33</f>
        <v>519624.12</v>
      </c>
      <c r="Q34" s="294">
        <f>费用表!AK33</f>
        <v>460692.45</v>
      </c>
      <c r="R34" s="294">
        <f>费用表!AJ33</f>
        <v>439454.79</v>
      </c>
      <c r="S34" s="294">
        <f>费用表!AF33</f>
        <v>576044.7</v>
      </c>
      <c r="T34" s="291">
        <f t="shared" si="3"/>
        <v>20173165.77</v>
      </c>
      <c r="U34" s="294">
        <f>费用表!AP33</f>
        <v>2109352.16</v>
      </c>
      <c r="V34" s="294">
        <f>费用表!AN33</f>
        <v>12174726.84</v>
      </c>
      <c r="W34" s="294">
        <f>费用表!AO33</f>
        <v>3614485.17</v>
      </c>
      <c r="X34" s="294">
        <f>费用表!AQ33</f>
        <v>730174.76</v>
      </c>
      <c r="Y34" s="294">
        <f>费用表!AR33</f>
        <v>1391766.87</v>
      </c>
      <c r="Z34" s="294">
        <f>费用表!AS33</f>
        <v>152659.97</v>
      </c>
      <c r="AA34" s="294">
        <f>费用表!AT33</f>
        <v>0</v>
      </c>
      <c r="AB34" s="294">
        <f>费用表!AM33</f>
        <v>1170792.69</v>
      </c>
      <c r="AC34" s="294">
        <f>费用表!AD33</f>
        <v>480166.06</v>
      </c>
    </row>
    <row r="35" ht="18.75" customHeight="1" spans="1:29">
      <c r="A35" s="18" t="s">
        <v>123</v>
      </c>
      <c r="B35" s="290" t="s">
        <v>124</v>
      </c>
      <c r="C35" s="291">
        <f t="shared" si="0"/>
        <v>4213575.85</v>
      </c>
      <c r="D35" s="291">
        <f>费用表!V34</f>
        <v>0</v>
      </c>
      <c r="E35" s="291">
        <f>SUM(费用表!C34:U34)+H35+S35+AB35+AC35</f>
        <v>1161366.53</v>
      </c>
      <c r="F35" s="291">
        <f>费用表!AE34+费用表!AB34+费用表!AA34+费用表!Z34</f>
        <v>2791857.91</v>
      </c>
      <c r="G35" s="291">
        <f t="shared" si="1"/>
        <v>45906.83</v>
      </c>
      <c r="H35" s="291">
        <f>费用表!AV34</f>
        <v>0</v>
      </c>
      <c r="I35" s="291">
        <f>费用表!AW34</f>
        <v>0</v>
      </c>
      <c r="J35" s="291">
        <f>费用表!AX34</f>
        <v>19806.53</v>
      </c>
      <c r="K35" s="291">
        <f>费用表!AU34</f>
        <v>26100.3</v>
      </c>
      <c r="L35" s="291">
        <f t="shared" ref="L35:L51" si="4">SUM(M35:R35)</f>
        <v>137264.77</v>
      </c>
      <c r="M35" s="291">
        <f>费用表!AG34</f>
        <v>21696.54</v>
      </c>
      <c r="N35" s="291">
        <f>费用表!AH34</f>
        <v>21696.54</v>
      </c>
      <c r="O35" s="291">
        <f>费用表!AL34</f>
        <v>21696.54</v>
      </c>
      <c r="P35" s="291">
        <f>费用表!AI34</f>
        <v>25184.3</v>
      </c>
      <c r="Q35" s="291">
        <f>费用表!AK34</f>
        <v>21842.55</v>
      </c>
      <c r="R35" s="291">
        <f>费用表!AJ34</f>
        <v>25148.3</v>
      </c>
      <c r="S35" s="291">
        <f>费用表!AF34</f>
        <v>36890.51</v>
      </c>
      <c r="T35" s="291">
        <f t="shared" ref="T35:T51" si="5">SUM(U35:AA35)</f>
        <v>77179.81</v>
      </c>
      <c r="U35" s="291">
        <f>费用表!AP34</f>
        <v>0</v>
      </c>
      <c r="V35" s="291">
        <f>费用表!AN34</f>
        <v>47583.01</v>
      </c>
      <c r="W35" s="291">
        <f>费用表!AO34</f>
        <v>29596.8</v>
      </c>
      <c r="X35" s="291">
        <f>费用表!AQ34</f>
        <v>0</v>
      </c>
      <c r="Y35" s="291">
        <f>费用表!AR34</f>
        <v>0</v>
      </c>
      <c r="Z35" s="291">
        <f>费用表!AS34</f>
        <v>0</v>
      </c>
      <c r="AA35" s="291">
        <f>费用表!AT34</f>
        <v>0</v>
      </c>
      <c r="AB35" s="291">
        <f>费用表!AM34</f>
        <v>12751.19</v>
      </c>
      <c r="AC35" s="291">
        <f>费用表!AD34</f>
        <v>51273.86</v>
      </c>
    </row>
    <row r="36" spans="1:29">
      <c r="A36" s="19"/>
      <c r="B36" s="290" t="s">
        <v>125</v>
      </c>
      <c r="C36" s="291">
        <f t="shared" si="0"/>
        <v>4425359.6</v>
      </c>
      <c r="D36" s="291">
        <f>费用表!V35</f>
        <v>0</v>
      </c>
      <c r="E36" s="291">
        <f>SUM(费用表!C35:U35)+H36+S36+AB36+AC36</f>
        <v>1458104.26</v>
      </c>
      <c r="F36" s="291">
        <f>费用表!AE35+费用表!AB35+费用表!AA35+费用表!Z35</f>
        <v>2398998.36</v>
      </c>
      <c r="G36" s="291">
        <f t="shared" si="1"/>
        <v>98980.42</v>
      </c>
      <c r="H36" s="291">
        <f>费用表!AV35</f>
        <v>73236.07</v>
      </c>
      <c r="I36" s="291">
        <f>费用表!AW35</f>
        <v>34051.61</v>
      </c>
      <c r="J36" s="291">
        <f>费用表!AX35</f>
        <v>15351.61</v>
      </c>
      <c r="K36" s="291">
        <f>费用表!AU35</f>
        <v>49577.2</v>
      </c>
      <c r="L36" s="291">
        <f t="shared" si="4"/>
        <v>206647.86</v>
      </c>
      <c r="M36" s="291">
        <f>费用表!AG35</f>
        <v>32275.05</v>
      </c>
      <c r="N36" s="291">
        <f>费用表!AH35</f>
        <v>43609.99</v>
      </c>
      <c r="O36" s="291">
        <f>费用表!AL35</f>
        <v>30187.22</v>
      </c>
      <c r="P36" s="291">
        <f>费用表!AI35</f>
        <v>47849.48</v>
      </c>
      <c r="Q36" s="291">
        <f>费用表!AK35</f>
        <v>24218.21</v>
      </c>
      <c r="R36" s="291">
        <f>费用表!AJ35</f>
        <v>28507.91</v>
      </c>
      <c r="S36" s="291">
        <f>费用表!AF35</f>
        <v>189879.43</v>
      </c>
      <c r="T36" s="291">
        <f t="shared" si="5"/>
        <v>262628.7</v>
      </c>
      <c r="U36" s="291">
        <f>费用表!AP35</f>
        <v>69424.73</v>
      </c>
      <c r="V36" s="291">
        <f>费用表!AN35</f>
        <v>106286.55</v>
      </c>
      <c r="W36" s="291">
        <f>费用表!AO35</f>
        <v>54995.16</v>
      </c>
      <c r="X36" s="291">
        <f>费用表!AQ35</f>
        <v>24775.84</v>
      </c>
      <c r="Y36" s="291">
        <f>费用表!AR35</f>
        <v>5890.42</v>
      </c>
      <c r="Z36" s="291">
        <f>费用表!AS35</f>
        <v>1256</v>
      </c>
      <c r="AA36" s="291">
        <f>费用表!AT35</f>
        <v>0</v>
      </c>
      <c r="AB36" s="291">
        <f>费用表!AM35</f>
        <v>55239.33</v>
      </c>
      <c r="AC36" s="291">
        <f>费用表!AD35</f>
        <v>156408.11</v>
      </c>
    </row>
    <row r="37" spans="1:29">
      <c r="A37" s="19"/>
      <c r="B37" s="290" t="s">
        <v>126</v>
      </c>
      <c r="C37" s="291">
        <f t="shared" si="0"/>
        <v>2560215.42</v>
      </c>
      <c r="D37" s="291">
        <f>费用表!V36</f>
        <v>0</v>
      </c>
      <c r="E37" s="291">
        <f>SUM(费用表!C36:U36)+H37+S37+AB37+AC37</f>
        <v>2314657.62</v>
      </c>
      <c r="F37" s="291">
        <f>费用表!AE36+费用表!AB36+费用表!AA36+费用表!Z36</f>
        <v>0</v>
      </c>
      <c r="G37" s="291">
        <f t="shared" si="1"/>
        <v>0</v>
      </c>
      <c r="H37" s="291">
        <f>费用表!AV36</f>
        <v>0</v>
      </c>
      <c r="I37" s="291">
        <f>费用表!AW36</f>
        <v>0</v>
      </c>
      <c r="J37" s="291">
        <f>费用表!AX36</f>
        <v>0</v>
      </c>
      <c r="K37" s="291">
        <f>费用表!AU36</f>
        <v>0</v>
      </c>
      <c r="L37" s="291">
        <f t="shared" si="4"/>
        <v>0</v>
      </c>
      <c r="M37" s="291">
        <f>费用表!AG36</f>
        <v>0</v>
      </c>
      <c r="N37" s="291">
        <f>费用表!AH36</f>
        <v>0</v>
      </c>
      <c r="O37" s="291">
        <f>费用表!AL36</f>
        <v>0</v>
      </c>
      <c r="P37" s="291">
        <f>费用表!AI36</f>
        <v>0</v>
      </c>
      <c r="Q37" s="291">
        <f>费用表!AK36</f>
        <v>0</v>
      </c>
      <c r="R37" s="291">
        <f>费用表!AJ36</f>
        <v>0</v>
      </c>
      <c r="S37" s="291">
        <f>费用表!AF36</f>
        <v>0</v>
      </c>
      <c r="T37" s="291">
        <f t="shared" si="5"/>
        <v>245557.8</v>
      </c>
      <c r="U37" s="291">
        <f>费用表!AP36</f>
        <v>0</v>
      </c>
      <c r="V37" s="291">
        <f>费用表!AN36</f>
        <v>245557.8</v>
      </c>
      <c r="W37" s="291">
        <f>费用表!AO36</f>
        <v>0</v>
      </c>
      <c r="X37" s="291">
        <f>费用表!AQ36</f>
        <v>0</v>
      </c>
      <c r="Y37" s="291">
        <f>费用表!AR36</f>
        <v>0</v>
      </c>
      <c r="Z37" s="291">
        <f>费用表!AS36</f>
        <v>0</v>
      </c>
      <c r="AA37" s="291">
        <f>费用表!AT36</f>
        <v>0</v>
      </c>
      <c r="AB37" s="291">
        <f>费用表!AM36</f>
        <v>0</v>
      </c>
      <c r="AC37" s="291">
        <f>费用表!AD36</f>
        <v>0</v>
      </c>
    </row>
    <row r="38" spans="1:29">
      <c r="A38" s="19"/>
      <c r="B38" s="290" t="s">
        <v>127</v>
      </c>
      <c r="C38" s="291">
        <f t="shared" si="0"/>
        <v>2570238.35</v>
      </c>
      <c r="D38" s="291">
        <f>费用表!V37</f>
        <v>0</v>
      </c>
      <c r="E38" s="291">
        <f>SUM(费用表!C37:U37)+H38+S38+AB38+AC38</f>
        <v>379388.01</v>
      </c>
      <c r="F38" s="291">
        <f>费用表!AE37+费用表!AB37+费用表!AA37+费用表!Z37</f>
        <v>2086666.27</v>
      </c>
      <c r="G38" s="291">
        <f t="shared" si="1"/>
        <v>25512.85</v>
      </c>
      <c r="H38" s="291">
        <f>费用表!AV37</f>
        <v>0</v>
      </c>
      <c r="I38" s="291">
        <f>费用表!AW37</f>
        <v>0</v>
      </c>
      <c r="J38" s="291">
        <f>费用表!AX37</f>
        <v>10268.33</v>
      </c>
      <c r="K38" s="291">
        <f>费用表!AU37</f>
        <v>15244.52</v>
      </c>
      <c r="L38" s="291">
        <f t="shared" si="4"/>
        <v>78671.22</v>
      </c>
      <c r="M38" s="291">
        <f>费用表!AG37</f>
        <v>12045.55</v>
      </c>
      <c r="N38" s="291">
        <f>费用表!AH37</f>
        <v>12045.54</v>
      </c>
      <c r="O38" s="291">
        <f>费用表!AL37</f>
        <v>12045.54</v>
      </c>
      <c r="P38" s="291">
        <f>费用表!AI37</f>
        <v>15244.52</v>
      </c>
      <c r="Q38" s="291">
        <f>费用表!AK37</f>
        <v>12045.55</v>
      </c>
      <c r="R38" s="291">
        <f>费用表!AJ37</f>
        <v>15244.52</v>
      </c>
      <c r="S38" s="291">
        <f>费用表!AF37</f>
        <v>15244.48</v>
      </c>
      <c r="T38" s="291">
        <f t="shared" si="5"/>
        <v>0</v>
      </c>
      <c r="U38" s="291">
        <f>费用表!AP37</f>
        <v>0</v>
      </c>
      <c r="V38" s="291">
        <f>费用表!AN37</f>
        <v>0</v>
      </c>
      <c r="W38" s="291">
        <f>费用表!AO37</f>
        <v>0</v>
      </c>
      <c r="X38" s="291">
        <f>费用表!AQ37</f>
        <v>0</v>
      </c>
      <c r="Y38" s="291">
        <f>费用表!AR37</f>
        <v>0</v>
      </c>
      <c r="Z38" s="291">
        <f>费用表!AS37</f>
        <v>0</v>
      </c>
      <c r="AA38" s="291">
        <f>费用表!AT37</f>
        <v>0</v>
      </c>
      <c r="AB38" s="291">
        <f>费用表!AM37</f>
        <v>0</v>
      </c>
      <c r="AC38" s="291">
        <f>费用表!AD37</f>
        <v>20216.43</v>
      </c>
    </row>
    <row r="39" spans="1:29">
      <c r="A39" s="19"/>
      <c r="B39" s="290" t="s">
        <v>128</v>
      </c>
      <c r="C39" s="291">
        <f t="shared" si="0"/>
        <v>245240.57</v>
      </c>
      <c r="D39" s="291">
        <f>费用表!V38</f>
        <v>0</v>
      </c>
      <c r="E39" s="291">
        <f>SUM(费用表!C38:U38)+H39+S39+AB39+AC39</f>
        <v>245240.57</v>
      </c>
      <c r="F39" s="291">
        <f>费用表!AE38+费用表!AB38+费用表!AA38+费用表!Z38</f>
        <v>0</v>
      </c>
      <c r="G39" s="291">
        <f t="shared" si="1"/>
        <v>0</v>
      </c>
      <c r="H39" s="291">
        <f>费用表!AV38</f>
        <v>0</v>
      </c>
      <c r="I39" s="291">
        <f>费用表!AW38</f>
        <v>0</v>
      </c>
      <c r="J39" s="291">
        <f>费用表!AX38</f>
        <v>0</v>
      </c>
      <c r="K39" s="291">
        <f>费用表!AU38</f>
        <v>0</v>
      </c>
      <c r="L39" s="291">
        <f t="shared" si="4"/>
        <v>0</v>
      </c>
      <c r="M39" s="291">
        <f>费用表!AG38</f>
        <v>0</v>
      </c>
      <c r="N39" s="291">
        <f>费用表!AH38</f>
        <v>0</v>
      </c>
      <c r="O39" s="291">
        <f>费用表!AL38</f>
        <v>0</v>
      </c>
      <c r="P39" s="291">
        <f>费用表!AI38</f>
        <v>0</v>
      </c>
      <c r="Q39" s="291">
        <f>费用表!AK38</f>
        <v>0</v>
      </c>
      <c r="R39" s="291">
        <f>费用表!AJ38</f>
        <v>0</v>
      </c>
      <c r="S39" s="291">
        <f>费用表!AF38</f>
        <v>0</v>
      </c>
      <c r="T39" s="291">
        <f t="shared" si="5"/>
        <v>0</v>
      </c>
      <c r="U39" s="291">
        <f>费用表!AP38</f>
        <v>0</v>
      </c>
      <c r="V39" s="291">
        <f>费用表!AN38</f>
        <v>0</v>
      </c>
      <c r="W39" s="291">
        <f>费用表!AO38</f>
        <v>0</v>
      </c>
      <c r="X39" s="291">
        <f>费用表!AQ38</f>
        <v>0</v>
      </c>
      <c r="Y39" s="291">
        <f>费用表!AR38</f>
        <v>0</v>
      </c>
      <c r="Z39" s="291">
        <f>费用表!AS38</f>
        <v>0</v>
      </c>
      <c r="AA39" s="291">
        <f>费用表!AT38</f>
        <v>0</v>
      </c>
      <c r="AB39" s="291">
        <f>费用表!AM38</f>
        <v>0</v>
      </c>
      <c r="AC39" s="291">
        <f>费用表!AD38</f>
        <v>0</v>
      </c>
    </row>
    <row r="40" spans="1:29">
      <c r="A40" s="19"/>
      <c r="B40" s="290" t="s">
        <v>129</v>
      </c>
      <c r="C40" s="291">
        <f t="shared" si="0"/>
        <v>750152.63</v>
      </c>
      <c r="D40" s="291">
        <f>费用表!V39</f>
        <v>0</v>
      </c>
      <c r="E40" s="291">
        <f>SUM(费用表!C39:U39)+H40+S40+AB40+AC40</f>
        <v>345761.14</v>
      </c>
      <c r="F40" s="291">
        <f>费用表!AE39+费用表!AB39+费用表!AA39+费用表!Z39</f>
        <v>394895.74</v>
      </c>
      <c r="G40" s="291">
        <f t="shared" si="1"/>
        <v>400</v>
      </c>
      <c r="H40" s="291">
        <f>费用表!AV39</f>
        <v>0</v>
      </c>
      <c r="I40" s="291">
        <f>费用表!AW39</f>
        <v>0</v>
      </c>
      <c r="J40" s="291">
        <f>费用表!AX39</f>
        <v>0</v>
      </c>
      <c r="K40" s="291">
        <f>费用表!AU39</f>
        <v>400</v>
      </c>
      <c r="L40" s="291">
        <f t="shared" si="4"/>
        <v>7449.49</v>
      </c>
      <c r="M40" s="291">
        <f>费用表!AG39</f>
        <v>0</v>
      </c>
      <c r="N40" s="291">
        <f>费用表!AH39</f>
        <v>0</v>
      </c>
      <c r="O40" s="291">
        <f>费用表!AL39</f>
        <v>0</v>
      </c>
      <c r="P40" s="291">
        <f>费用表!AI39</f>
        <v>6020.49</v>
      </c>
      <c r="Q40" s="291">
        <f>费用表!AK39</f>
        <v>0</v>
      </c>
      <c r="R40" s="291">
        <f>费用表!AJ39</f>
        <v>1429</v>
      </c>
      <c r="S40" s="291">
        <f>费用表!AF39</f>
        <v>6392.45</v>
      </c>
      <c r="T40" s="291">
        <f t="shared" si="5"/>
        <v>1646.26</v>
      </c>
      <c r="U40" s="291">
        <f>费用表!AP39</f>
        <v>0</v>
      </c>
      <c r="V40" s="291">
        <f>费用表!AN39</f>
        <v>741.6</v>
      </c>
      <c r="W40" s="291">
        <f>费用表!AO39</f>
        <v>904.66</v>
      </c>
      <c r="X40" s="291">
        <f>费用表!AQ39</f>
        <v>0</v>
      </c>
      <c r="Y40" s="291">
        <f>费用表!AR39</f>
        <v>0</v>
      </c>
      <c r="Z40" s="291">
        <f>费用表!AS39</f>
        <v>0</v>
      </c>
      <c r="AA40" s="291">
        <f>费用表!AT39</f>
        <v>0</v>
      </c>
      <c r="AB40" s="291">
        <f>费用表!AM39</f>
        <v>6100</v>
      </c>
      <c r="AC40" s="291">
        <f>费用表!AD39</f>
        <v>330</v>
      </c>
    </row>
    <row r="41" spans="1:29">
      <c r="A41" s="19"/>
      <c r="B41" s="290" t="s">
        <v>130</v>
      </c>
      <c r="C41" s="291">
        <f t="shared" si="0"/>
        <v>2122900.77</v>
      </c>
      <c r="D41" s="291">
        <f>费用表!V40</f>
        <v>0</v>
      </c>
      <c r="E41" s="291">
        <f>SUM(费用表!C40:U40)+H41+S41+AB41+AC41</f>
        <v>1564770.77</v>
      </c>
      <c r="F41" s="291">
        <f>费用表!AE40+费用表!AB40+费用表!AA40+费用表!Z40</f>
        <v>558130</v>
      </c>
      <c r="G41" s="291">
        <f t="shared" si="1"/>
        <v>0</v>
      </c>
      <c r="H41" s="291">
        <f>费用表!AV40</f>
        <v>0</v>
      </c>
      <c r="I41" s="291">
        <f>费用表!AW40</f>
        <v>0</v>
      </c>
      <c r="J41" s="291">
        <f>费用表!AX40</f>
        <v>0</v>
      </c>
      <c r="K41" s="291">
        <f>费用表!AU40</f>
        <v>0</v>
      </c>
      <c r="L41" s="291">
        <f t="shared" si="4"/>
        <v>0</v>
      </c>
      <c r="M41" s="291">
        <f>费用表!AG40</f>
        <v>0</v>
      </c>
      <c r="N41" s="291">
        <f>费用表!AH40</f>
        <v>0</v>
      </c>
      <c r="O41" s="291">
        <f>费用表!AL40</f>
        <v>0</v>
      </c>
      <c r="P41" s="291">
        <f>费用表!AI40</f>
        <v>0</v>
      </c>
      <c r="Q41" s="291">
        <f>费用表!AK40</f>
        <v>0</v>
      </c>
      <c r="R41" s="291">
        <f>费用表!AJ40</f>
        <v>0</v>
      </c>
      <c r="S41" s="291">
        <f>费用表!AF40</f>
        <v>8000</v>
      </c>
      <c r="T41" s="291">
        <f t="shared" si="5"/>
        <v>0</v>
      </c>
      <c r="U41" s="291">
        <f>费用表!AP40</f>
        <v>0</v>
      </c>
      <c r="V41" s="291">
        <f>费用表!AN40</f>
        <v>0</v>
      </c>
      <c r="W41" s="291">
        <f>费用表!AO40</f>
        <v>0</v>
      </c>
      <c r="X41" s="291">
        <f>费用表!AQ40</f>
        <v>0</v>
      </c>
      <c r="Y41" s="291">
        <f>费用表!AR40</f>
        <v>0</v>
      </c>
      <c r="Z41" s="291">
        <f>费用表!AS40</f>
        <v>0</v>
      </c>
      <c r="AA41" s="291">
        <f>费用表!AT40</f>
        <v>0</v>
      </c>
      <c r="AB41" s="291">
        <f>费用表!AM40</f>
        <v>0</v>
      </c>
      <c r="AC41" s="291">
        <f>费用表!AD40</f>
        <v>0</v>
      </c>
    </row>
    <row r="42" spans="1:29">
      <c r="A42" s="19"/>
      <c r="B42" s="290" t="s">
        <v>131</v>
      </c>
      <c r="C42" s="291">
        <f t="shared" si="0"/>
        <v>864932.18</v>
      </c>
      <c r="D42" s="291">
        <f>费用表!V41</f>
        <v>0</v>
      </c>
      <c r="E42" s="291">
        <f>SUM(费用表!C41:U41)+H42+S42+AB42+AC42</f>
        <v>431999.05</v>
      </c>
      <c r="F42" s="291">
        <f>费用表!AE41+费用表!AB41+费用表!AA41+费用表!Z41</f>
        <v>54475.55</v>
      </c>
      <c r="G42" s="291">
        <f t="shared" si="1"/>
        <v>0</v>
      </c>
      <c r="H42" s="291">
        <f>费用表!AV41</f>
        <v>0</v>
      </c>
      <c r="I42" s="291">
        <f>费用表!AW41</f>
        <v>0</v>
      </c>
      <c r="J42" s="291">
        <f>费用表!AX41</f>
        <v>0</v>
      </c>
      <c r="K42" s="291">
        <f>费用表!AU41</f>
        <v>0</v>
      </c>
      <c r="L42" s="291">
        <f t="shared" si="4"/>
        <v>113207.54</v>
      </c>
      <c r="M42" s="291">
        <f>费用表!AG41</f>
        <v>0</v>
      </c>
      <c r="N42" s="291">
        <f>费用表!AH41</f>
        <v>113207.54</v>
      </c>
      <c r="O42" s="291">
        <f>费用表!AL41</f>
        <v>0</v>
      </c>
      <c r="P42" s="291">
        <f>费用表!AI41</f>
        <v>0</v>
      </c>
      <c r="Q42" s="291">
        <f>费用表!AK41</f>
        <v>0</v>
      </c>
      <c r="R42" s="291">
        <f>费用表!AJ41</f>
        <v>0</v>
      </c>
      <c r="S42" s="291">
        <f>费用表!AF41</f>
        <v>0</v>
      </c>
      <c r="T42" s="291">
        <f t="shared" si="5"/>
        <v>265250.04</v>
      </c>
      <c r="U42" s="291">
        <f>费用表!AP41</f>
        <v>0</v>
      </c>
      <c r="V42" s="291">
        <f>费用表!AN41</f>
        <v>236398.6</v>
      </c>
      <c r="W42" s="291">
        <f>费用表!AO41</f>
        <v>28851.44</v>
      </c>
      <c r="X42" s="291">
        <f>费用表!AQ41</f>
        <v>0</v>
      </c>
      <c r="Y42" s="291">
        <f>费用表!AR41</f>
        <v>0</v>
      </c>
      <c r="Z42" s="291">
        <f>费用表!AS41</f>
        <v>0</v>
      </c>
      <c r="AA42" s="291">
        <f>费用表!AT41</f>
        <v>0</v>
      </c>
      <c r="AB42" s="291">
        <f>费用表!AM41</f>
        <v>0</v>
      </c>
      <c r="AC42" s="291">
        <f>费用表!AD41</f>
        <v>0</v>
      </c>
    </row>
    <row r="43" spans="1:29">
      <c r="A43" s="19"/>
      <c r="B43" s="290" t="s">
        <v>132</v>
      </c>
      <c r="C43" s="291">
        <f t="shared" si="0"/>
        <v>0</v>
      </c>
      <c r="D43" s="291">
        <f>费用表!V42</f>
        <v>0</v>
      </c>
      <c r="E43" s="291">
        <f>SUM(费用表!C42:U42)+H43+S43+AB43+AC43</f>
        <v>0</v>
      </c>
      <c r="F43" s="291">
        <f>费用表!AE42+费用表!AB42+费用表!AA42+费用表!Z42</f>
        <v>0</v>
      </c>
      <c r="G43" s="291">
        <f t="shared" si="1"/>
        <v>0</v>
      </c>
      <c r="H43" s="291">
        <f>费用表!AV42</f>
        <v>0</v>
      </c>
      <c r="I43" s="291">
        <f>费用表!AW42</f>
        <v>0</v>
      </c>
      <c r="J43" s="291">
        <f>费用表!AX42</f>
        <v>0</v>
      </c>
      <c r="K43" s="291">
        <f>费用表!AU42</f>
        <v>0</v>
      </c>
      <c r="L43" s="291">
        <f t="shared" si="4"/>
        <v>0</v>
      </c>
      <c r="M43" s="291">
        <f>费用表!AG42</f>
        <v>0</v>
      </c>
      <c r="N43" s="291">
        <f>费用表!AH42</f>
        <v>0</v>
      </c>
      <c r="O43" s="291">
        <f>费用表!AL42</f>
        <v>0</v>
      </c>
      <c r="P43" s="291">
        <f>费用表!AI42</f>
        <v>0</v>
      </c>
      <c r="Q43" s="291">
        <f>费用表!AK42</f>
        <v>0</v>
      </c>
      <c r="R43" s="291">
        <f>费用表!AJ42</f>
        <v>0</v>
      </c>
      <c r="S43" s="291">
        <f>费用表!AF42</f>
        <v>0</v>
      </c>
      <c r="T43" s="291">
        <f t="shared" si="5"/>
        <v>0</v>
      </c>
      <c r="U43" s="291">
        <f>费用表!AP42</f>
        <v>0</v>
      </c>
      <c r="V43" s="291">
        <f>费用表!AN42</f>
        <v>0</v>
      </c>
      <c r="W43" s="291">
        <f>费用表!AO42</f>
        <v>0</v>
      </c>
      <c r="X43" s="291">
        <f>费用表!AQ42</f>
        <v>0</v>
      </c>
      <c r="Y43" s="291">
        <f>费用表!AR42</f>
        <v>0</v>
      </c>
      <c r="Z43" s="291">
        <f>费用表!AS42</f>
        <v>0</v>
      </c>
      <c r="AA43" s="291">
        <f>费用表!AT42</f>
        <v>0</v>
      </c>
      <c r="AB43" s="291">
        <f>费用表!AM42</f>
        <v>0</v>
      </c>
      <c r="AC43" s="291">
        <f>费用表!AD42</f>
        <v>0</v>
      </c>
    </row>
    <row r="44" spans="1:29">
      <c r="A44" s="19"/>
      <c r="B44" s="290" t="s">
        <v>133</v>
      </c>
      <c r="C44" s="291">
        <f t="shared" si="0"/>
        <v>15325653.57</v>
      </c>
      <c r="D44" s="291">
        <f>费用表!V43</f>
        <v>0</v>
      </c>
      <c r="E44" s="291">
        <f>SUM(费用表!C43:U43)+H44+S44+AB44+AC44</f>
        <v>8978533.26</v>
      </c>
      <c r="F44" s="291">
        <f>费用表!AE43+费用表!AB43+费用表!AA43+费用表!Z43</f>
        <v>5930911.48</v>
      </c>
      <c r="G44" s="291">
        <f t="shared" si="1"/>
        <v>204391.22</v>
      </c>
      <c r="H44" s="291">
        <f>费用表!AV43</f>
        <v>0</v>
      </c>
      <c r="I44" s="291">
        <f>费用表!AW43</f>
        <v>19772.58</v>
      </c>
      <c r="J44" s="291">
        <f>费用表!AX43</f>
        <v>19772.58</v>
      </c>
      <c r="K44" s="291">
        <f>费用表!AU43</f>
        <v>164846.06</v>
      </c>
      <c r="L44" s="291">
        <f t="shared" si="4"/>
        <v>211817.61</v>
      </c>
      <c r="M44" s="291">
        <f>费用表!AG43</f>
        <v>50588.34</v>
      </c>
      <c r="N44" s="291">
        <f>费用表!AH43</f>
        <v>19393.5</v>
      </c>
      <c r="O44" s="291">
        <f>费用表!AL43</f>
        <v>6146.91</v>
      </c>
      <c r="P44" s="291">
        <f>费用表!AI43</f>
        <v>39545.16</v>
      </c>
      <c r="Q44" s="291">
        <f>费用表!AK43</f>
        <v>0</v>
      </c>
      <c r="R44" s="291">
        <f>费用表!AJ43</f>
        <v>96143.7</v>
      </c>
      <c r="S44" s="291">
        <f>费用表!AF43</f>
        <v>12252.26</v>
      </c>
      <c r="T44" s="291">
        <f t="shared" si="5"/>
        <v>0</v>
      </c>
      <c r="U44" s="291">
        <f>费用表!AP43</f>
        <v>0</v>
      </c>
      <c r="V44" s="291">
        <f>费用表!AN43</f>
        <v>0</v>
      </c>
      <c r="W44" s="291">
        <f>费用表!AO43</f>
        <v>0</v>
      </c>
      <c r="X44" s="291">
        <f>费用表!AQ43</f>
        <v>0</v>
      </c>
      <c r="Y44" s="291">
        <f>费用表!AR43</f>
        <v>0</v>
      </c>
      <c r="Z44" s="291">
        <f>费用表!AS43</f>
        <v>0</v>
      </c>
      <c r="AA44" s="291">
        <f>费用表!AT43</f>
        <v>0</v>
      </c>
      <c r="AB44" s="291">
        <f>费用表!AM43</f>
        <v>0</v>
      </c>
      <c r="AC44" s="291">
        <f>费用表!AD43</f>
        <v>0</v>
      </c>
    </row>
    <row r="45" spans="1:29">
      <c r="A45" s="19"/>
      <c r="B45" s="295" t="s">
        <v>134</v>
      </c>
      <c r="C45" s="291">
        <f t="shared" si="0"/>
        <v>5514187.82</v>
      </c>
      <c r="D45" s="296">
        <f>费用表!V44</f>
        <v>0</v>
      </c>
      <c r="E45" s="291">
        <f>SUM(费用表!C44:U44)+H45+S45+AB45+AC45</f>
        <v>1096481.94</v>
      </c>
      <c r="F45" s="291">
        <f>费用表!AE44+费用表!AB44+费用表!AA44+费用表!Z44</f>
        <v>3670809.85</v>
      </c>
      <c r="G45" s="291">
        <f t="shared" si="1"/>
        <v>387398.7</v>
      </c>
      <c r="H45" s="296">
        <f>费用表!AV44</f>
        <v>3603.25</v>
      </c>
      <c r="I45" s="296">
        <f>费用表!AW44</f>
        <v>84312.03</v>
      </c>
      <c r="J45" s="296">
        <f>费用表!AX44</f>
        <v>81192.68</v>
      </c>
      <c r="K45" s="296">
        <f>费用表!AU44</f>
        <v>221893.99</v>
      </c>
      <c r="L45" s="291">
        <f t="shared" si="4"/>
        <v>355447.14</v>
      </c>
      <c r="M45" s="296">
        <f>费用表!AG44</f>
        <v>78118.44</v>
      </c>
      <c r="N45" s="296">
        <f>费用表!AH44</f>
        <v>78118.44</v>
      </c>
      <c r="O45" s="296">
        <f>费用表!AL44</f>
        <v>65374.09</v>
      </c>
      <c r="P45" s="296">
        <f>费用表!AI44</f>
        <v>36050.87</v>
      </c>
      <c r="Q45" s="296">
        <f>费用表!AK44</f>
        <v>55417.38</v>
      </c>
      <c r="R45" s="296">
        <f>费用表!AJ44</f>
        <v>42367.92</v>
      </c>
      <c r="S45" s="296">
        <f>费用表!AF44</f>
        <v>1560</v>
      </c>
      <c r="T45" s="291">
        <f t="shared" si="5"/>
        <v>4050.19</v>
      </c>
      <c r="U45" s="296">
        <f>费用表!AP44</f>
        <v>2452.83</v>
      </c>
      <c r="V45" s="296">
        <f>费用表!AN44</f>
        <v>1220</v>
      </c>
      <c r="W45" s="296">
        <f>费用表!AO44</f>
        <v>0</v>
      </c>
      <c r="X45" s="296">
        <f>费用表!AQ44</f>
        <v>377.36</v>
      </c>
      <c r="Y45" s="296">
        <f>费用表!AR44</f>
        <v>0</v>
      </c>
      <c r="Z45" s="296">
        <f>费用表!AS44</f>
        <v>0</v>
      </c>
      <c r="AA45" s="296">
        <f>费用表!AT44</f>
        <v>0</v>
      </c>
      <c r="AB45" s="296">
        <f>费用表!AM44</f>
        <v>5471.7</v>
      </c>
      <c r="AC45" s="296">
        <f>费用表!AD44</f>
        <v>2264.16</v>
      </c>
    </row>
    <row r="46" customHeight="1" spans="1:29">
      <c r="A46" s="19"/>
      <c r="B46" s="290" t="s">
        <v>135</v>
      </c>
      <c r="C46" s="291">
        <f t="shared" si="0"/>
        <v>38706485.25</v>
      </c>
      <c r="D46" s="291">
        <f>费用表!V45</f>
        <v>0</v>
      </c>
      <c r="E46" s="291">
        <f>SUM(费用表!C45:U45)+H46+S46+AB46+AC46</f>
        <v>9466206.8</v>
      </c>
      <c r="F46" s="291">
        <f>费用表!AE45+费用表!AB45+费用表!AA45+费用表!Z45</f>
        <v>26483794.39</v>
      </c>
      <c r="G46" s="291">
        <f t="shared" si="1"/>
        <v>512668.06</v>
      </c>
      <c r="H46" s="291">
        <f>费用表!AV45</f>
        <v>1895</v>
      </c>
      <c r="I46" s="291">
        <f>费用表!AW45</f>
        <v>0</v>
      </c>
      <c r="J46" s="291">
        <f>费用表!AX45</f>
        <v>206111.01</v>
      </c>
      <c r="K46" s="291">
        <f>费用表!AU45</f>
        <v>306557.05</v>
      </c>
      <c r="L46" s="291">
        <f t="shared" si="4"/>
        <v>1662193.61</v>
      </c>
      <c r="M46" s="291">
        <f>费用表!AG45</f>
        <v>257200.74</v>
      </c>
      <c r="N46" s="291">
        <f>费用表!AH45</f>
        <v>257918.61</v>
      </c>
      <c r="O46" s="291">
        <f>费用表!AL45</f>
        <v>256947.74</v>
      </c>
      <c r="P46" s="291">
        <f>费用表!AI45</f>
        <v>319178.4</v>
      </c>
      <c r="Q46" s="291">
        <f>费用表!AK45</f>
        <v>264391.07</v>
      </c>
      <c r="R46" s="291">
        <f>费用表!AJ45</f>
        <v>306557.05</v>
      </c>
      <c r="S46" s="291">
        <f>费用表!AF45</f>
        <v>6394963.43</v>
      </c>
      <c r="T46" s="291">
        <f t="shared" si="5"/>
        <v>581622.39</v>
      </c>
      <c r="U46" s="291">
        <f>费用表!AP45</f>
        <v>0</v>
      </c>
      <c r="V46" s="291">
        <f>费用表!AN45</f>
        <v>359831.22</v>
      </c>
      <c r="W46" s="291">
        <f>费用表!AO45</f>
        <v>221707.17</v>
      </c>
      <c r="X46" s="291">
        <f>费用表!AQ45</f>
        <v>0</v>
      </c>
      <c r="Y46" s="291">
        <f>费用表!AR45</f>
        <v>84</v>
      </c>
      <c r="Z46" s="291">
        <f>费用表!AS45</f>
        <v>0</v>
      </c>
      <c r="AA46" s="291">
        <f>费用表!AT45</f>
        <v>0</v>
      </c>
      <c r="AB46" s="291">
        <f>费用表!AM45</f>
        <v>113027.13</v>
      </c>
      <c r="AC46" s="291">
        <f>费用表!AD45</f>
        <v>168056</v>
      </c>
    </row>
    <row r="47" spans="1:29">
      <c r="A47" s="19"/>
      <c r="B47" s="290" t="s">
        <v>136</v>
      </c>
      <c r="C47" s="291">
        <f t="shared" si="0"/>
        <v>17845623.41</v>
      </c>
      <c r="D47" s="291">
        <f>费用表!V46</f>
        <v>0</v>
      </c>
      <c r="E47" s="291">
        <f>SUM(费用表!C46:U46)+H47+S47+AB47+AC47</f>
        <v>13981269.9</v>
      </c>
      <c r="F47" s="291">
        <f>费用表!AE46+费用表!AB46+费用表!AA46+费用表!Z46</f>
        <v>3725669.9</v>
      </c>
      <c r="G47" s="291">
        <f t="shared" si="1"/>
        <v>6711.29</v>
      </c>
      <c r="H47" s="291">
        <f>费用表!AV46</f>
        <v>0</v>
      </c>
      <c r="I47" s="291">
        <f>费用表!AW46</f>
        <v>0</v>
      </c>
      <c r="J47" s="291">
        <f>费用表!AX46</f>
        <v>1852.93</v>
      </c>
      <c r="K47" s="291">
        <f>费用表!AU46</f>
        <v>4858.36</v>
      </c>
      <c r="L47" s="291">
        <f t="shared" si="4"/>
        <v>131972.32</v>
      </c>
      <c r="M47" s="291">
        <f>费用表!AG46</f>
        <v>26826.08</v>
      </c>
      <c r="N47" s="291">
        <f>费用表!AH46</f>
        <v>26948.8</v>
      </c>
      <c r="O47" s="291">
        <f>费用表!AL46</f>
        <v>26790.81</v>
      </c>
      <c r="P47" s="291">
        <f>费用表!AI46</f>
        <v>32647.97</v>
      </c>
      <c r="Q47" s="291">
        <f>费用表!AK46</f>
        <v>4555.7</v>
      </c>
      <c r="R47" s="291">
        <f>费用表!AJ46</f>
        <v>14202.96</v>
      </c>
      <c r="S47" s="291">
        <f>费用表!AF46</f>
        <v>514668.67</v>
      </c>
      <c r="T47" s="291">
        <f t="shared" si="5"/>
        <v>0</v>
      </c>
      <c r="U47" s="291">
        <f>费用表!AP46</f>
        <v>0</v>
      </c>
      <c r="V47" s="291">
        <f>费用表!AN46</f>
        <v>0</v>
      </c>
      <c r="W47" s="291">
        <f>费用表!AO46</f>
        <v>0</v>
      </c>
      <c r="X47" s="291">
        <f>费用表!AQ46</f>
        <v>0</v>
      </c>
      <c r="Y47" s="291">
        <f>费用表!AR46</f>
        <v>0</v>
      </c>
      <c r="Z47" s="291">
        <f>费用表!AS46</f>
        <v>0</v>
      </c>
      <c r="AA47" s="291">
        <f>费用表!AT46</f>
        <v>0</v>
      </c>
      <c r="AB47" s="291">
        <f>费用表!AM46</f>
        <v>0</v>
      </c>
      <c r="AC47" s="291">
        <f>费用表!AD46</f>
        <v>0</v>
      </c>
    </row>
    <row r="48" spans="1:29">
      <c r="A48" s="19"/>
      <c r="B48" s="290" t="s">
        <v>137</v>
      </c>
      <c r="C48" s="291">
        <f t="shared" si="0"/>
        <v>8712536.19</v>
      </c>
      <c r="D48" s="291">
        <f>费用表!V47</f>
        <v>0</v>
      </c>
      <c r="E48" s="291">
        <f>SUM(费用表!C47:U47)+H48+S48+AB48+AC48</f>
        <v>7964752.29</v>
      </c>
      <c r="F48" s="291">
        <f>费用表!AE47+费用表!AB47+费用表!AA47+费用表!Z47</f>
        <v>632589.24</v>
      </c>
      <c r="G48" s="291">
        <f t="shared" si="1"/>
        <v>0</v>
      </c>
      <c r="H48" s="291">
        <f>费用表!AV47</f>
        <v>0</v>
      </c>
      <c r="I48" s="291">
        <f>费用表!AW47</f>
        <v>0</v>
      </c>
      <c r="J48" s="291">
        <f>费用表!AX47</f>
        <v>0</v>
      </c>
      <c r="K48" s="291">
        <f>费用表!AU47</f>
        <v>0</v>
      </c>
      <c r="L48" s="291">
        <f t="shared" si="4"/>
        <v>115194.66</v>
      </c>
      <c r="M48" s="291">
        <f>费用表!AG47</f>
        <v>93762.12</v>
      </c>
      <c r="N48" s="291">
        <f>费用表!AH47</f>
        <v>10716.27</v>
      </c>
      <c r="O48" s="291">
        <f>费用表!AL47</f>
        <v>10716.27</v>
      </c>
      <c r="P48" s="291">
        <f>费用表!AI47</f>
        <v>0</v>
      </c>
      <c r="Q48" s="291">
        <f>费用表!AK47</f>
        <v>0</v>
      </c>
      <c r="R48" s="291">
        <f>费用表!AJ47</f>
        <v>0</v>
      </c>
      <c r="S48" s="291">
        <f>费用表!AF47</f>
        <v>0</v>
      </c>
      <c r="T48" s="291">
        <f t="shared" si="5"/>
        <v>0</v>
      </c>
      <c r="U48" s="291">
        <f>费用表!AP47</f>
        <v>0</v>
      </c>
      <c r="V48" s="291">
        <f>费用表!AN47</f>
        <v>0</v>
      </c>
      <c r="W48" s="291">
        <f>费用表!AO47</f>
        <v>0</v>
      </c>
      <c r="X48" s="291">
        <f>费用表!AQ47</f>
        <v>0</v>
      </c>
      <c r="Y48" s="291">
        <f>费用表!AR47</f>
        <v>0</v>
      </c>
      <c r="Z48" s="291">
        <f>费用表!AS47</f>
        <v>0</v>
      </c>
      <c r="AA48" s="291">
        <f>费用表!AT47</f>
        <v>0</v>
      </c>
      <c r="AB48" s="291">
        <f>费用表!AM47</f>
        <v>0</v>
      </c>
      <c r="AC48" s="291">
        <f>费用表!AD47</f>
        <v>3773.64</v>
      </c>
    </row>
    <row r="49" spans="1:29">
      <c r="A49" s="19"/>
      <c r="B49" s="290" t="s">
        <v>138</v>
      </c>
      <c r="C49" s="291">
        <f t="shared" si="0"/>
        <v>8655964.52</v>
      </c>
      <c r="D49" s="291">
        <f>费用表!V48</f>
        <v>0</v>
      </c>
      <c r="E49" s="291">
        <f>SUM(费用表!C48:U48)+H49+S49+AB49+AC49</f>
        <v>2067546.58</v>
      </c>
      <c r="F49" s="291">
        <f>费用表!AE48+费用表!AB48+费用表!AA48+费用表!Z48</f>
        <v>6234411.56</v>
      </c>
      <c r="G49" s="291">
        <f t="shared" si="1"/>
        <v>117831.85</v>
      </c>
      <c r="H49" s="291">
        <f>费用表!AV48</f>
        <v>10663.94</v>
      </c>
      <c r="I49" s="291">
        <f>费用表!AW48</f>
        <v>1670.26</v>
      </c>
      <c r="J49" s="291">
        <f>费用表!AX48</f>
        <v>35393.81</v>
      </c>
      <c r="K49" s="291">
        <f>费用表!AU48</f>
        <v>80767.78</v>
      </c>
      <c r="L49" s="291">
        <f t="shared" si="4"/>
        <v>217356.13</v>
      </c>
      <c r="M49" s="291">
        <f>费用表!AG48</f>
        <v>30304.86</v>
      </c>
      <c r="N49" s="291">
        <f>费用表!AH48</f>
        <v>29419.51</v>
      </c>
      <c r="O49" s="291">
        <f>费用表!AL48</f>
        <v>30416.09</v>
      </c>
      <c r="P49" s="291">
        <f>费用表!AI48</f>
        <v>64132.39</v>
      </c>
      <c r="Q49" s="291">
        <f>费用表!AK48</f>
        <v>24059.32</v>
      </c>
      <c r="R49" s="291">
        <f>费用表!AJ48</f>
        <v>39023.96</v>
      </c>
      <c r="S49" s="291">
        <f>费用表!AF48</f>
        <v>34820.61</v>
      </c>
      <c r="T49" s="291">
        <f t="shared" si="5"/>
        <v>18818.4</v>
      </c>
      <c r="U49" s="291">
        <f>费用表!AP48</f>
        <v>0</v>
      </c>
      <c r="V49" s="291">
        <f>费用表!AN48</f>
        <v>1880.04</v>
      </c>
      <c r="W49" s="291">
        <f>费用表!AO48</f>
        <v>16938.36</v>
      </c>
      <c r="X49" s="291">
        <f>费用表!AQ48</f>
        <v>0</v>
      </c>
      <c r="Y49" s="291">
        <f>费用表!AR48</f>
        <v>0</v>
      </c>
      <c r="Z49" s="291">
        <f>费用表!AS48</f>
        <v>0</v>
      </c>
      <c r="AA49" s="291">
        <f>费用表!AT48</f>
        <v>0</v>
      </c>
      <c r="AB49" s="291">
        <f>费用表!AM48</f>
        <v>0</v>
      </c>
      <c r="AC49" s="291">
        <f>费用表!AD48</f>
        <v>0</v>
      </c>
    </row>
    <row r="50" spans="1:29">
      <c r="A50" s="19"/>
      <c r="B50" s="290" t="s">
        <v>139</v>
      </c>
      <c r="C50" s="291">
        <f t="shared" si="0"/>
        <v>1092061.93</v>
      </c>
      <c r="D50" s="291">
        <f>费用表!V49</f>
        <v>0</v>
      </c>
      <c r="E50" s="291">
        <f>SUM(费用表!C49:U49)+H50+S50+AB50+AC50</f>
        <v>145754.08</v>
      </c>
      <c r="F50" s="291">
        <f>费用表!AE49+费用表!AB49+费用表!AA49+费用表!Z49</f>
        <v>755600.09</v>
      </c>
      <c r="G50" s="291">
        <f t="shared" si="1"/>
        <v>4300</v>
      </c>
      <c r="H50" s="291">
        <f>费用表!AV49</f>
        <v>13112.56</v>
      </c>
      <c r="I50" s="291">
        <f>费用表!AW49</f>
        <v>1100</v>
      </c>
      <c r="J50" s="291">
        <f>费用表!AX49</f>
        <v>3200</v>
      </c>
      <c r="K50" s="291">
        <f>费用表!AU49</f>
        <v>0</v>
      </c>
      <c r="L50" s="291">
        <f t="shared" si="4"/>
        <v>186407.76</v>
      </c>
      <c r="M50" s="291">
        <f>费用表!AG49</f>
        <v>0</v>
      </c>
      <c r="N50" s="291">
        <f>费用表!AH49</f>
        <v>0</v>
      </c>
      <c r="O50" s="291">
        <f>费用表!AL49</f>
        <v>0</v>
      </c>
      <c r="P50" s="291">
        <f>费用表!AI49</f>
        <v>0</v>
      </c>
      <c r="Q50" s="291">
        <f>费用表!AK49</f>
        <v>0</v>
      </c>
      <c r="R50" s="291">
        <f>费用表!AJ49</f>
        <v>186407.76</v>
      </c>
      <c r="S50" s="291">
        <f>费用表!AF49</f>
        <v>0</v>
      </c>
      <c r="T50" s="291">
        <f t="shared" si="5"/>
        <v>0</v>
      </c>
      <c r="U50" s="291">
        <f>费用表!AP49</f>
        <v>0</v>
      </c>
      <c r="V50" s="291">
        <f>费用表!AN49</f>
        <v>0</v>
      </c>
      <c r="W50" s="291">
        <f>费用表!AO49</f>
        <v>0</v>
      </c>
      <c r="X50" s="291">
        <f>费用表!AQ49</f>
        <v>0</v>
      </c>
      <c r="Y50" s="291">
        <f>费用表!AR49</f>
        <v>0</v>
      </c>
      <c r="Z50" s="291">
        <f>费用表!AS49</f>
        <v>0</v>
      </c>
      <c r="AA50" s="291">
        <f>费用表!AT49</f>
        <v>0</v>
      </c>
      <c r="AB50" s="291">
        <f>费用表!AM49</f>
        <v>0</v>
      </c>
      <c r="AC50" s="291">
        <f>费用表!AD49</f>
        <v>0</v>
      </c>
    </row>
    <row r="51" spans="1:29">
      <c r="A51" s="20"/>
      <c r="B51" s="297" t="s">
        <v>102</v>
      </c>
      <c r="C51" s="291">
        <f t="shared" si="0"/>
        <v>113605128.06</v>
      </c>
      <c r="D51" s="298">
        <f>费用表!V50</f>
        <v>0</v>
      </c>
      <c r="E51" s="298">
        <f>SUM(费用表!C50:U50)+H51+S51+AB51+AC51</f>
        <v>51601832.8</v>
      </c>
      <c r="F51" s="298">
        <f>费用表!AE50+费用表!AB50+费用表!AA50+费用表!Z50</f>
        <v>55718810.34</v>
      </c>
      <c r="G51" s="291">
        <f t="shared" si="1"/>
        <v>1404101.22</v>
      </c>
      <c r="H51" s="298">
        <f>费用表!AV50</f>
        <v>102510.82</v>
      </c>
      <c r="I51" s="298">
        <f>费用表!AW50</f>
        <v>140906.48</v>
      </c>
      <c r="J51" s="298">
        <f>费用表!AX50</f>
        <v>392949.48</v>
      </c>
      <c r="K51" s="298">
        <f>费用表!AU50</f>
        <v>870245.26</v>
      </c>
      <c r="L51" s="291">
        <f t="shared" si="4"/>
        <v>3423630.11</v>
      </c>
      <c r="M51" s="298">
        <f>费用表!AG50</f>
        <v>602817.72</v>
      </c>
      <c r="N51" s="298">
        <f>费用表!AH50</f>
        <v>613074.74</v>
      </c>
      <c r="O51" s="298">
        <f>费用表!AL50</f>
        <v>460321.21</v>
      </c>
      <c r="P51" s="298">
        <f>费用表!AI50</f>
        <v>585853.58</v>
      </c>
      <c r="Q51" s="298">
        <f>费用表!AK50</f>
        <v>406529.78</v>
      </c>
      <c r="R51" s="298">
        <f>费用表!AJ50</f>
        <v>755033.08</v>
      </c>
      <c r="S51" s="298">
        <f>费用表!AF50</f>
        <v>7214671.84</v>
      </c>
      <c r="T51" s="291">
        <f t="shared" si="5"/>
        <v>1456753.59</v>
      </c>
      <c r="U51" s="298">
        <f>费用表!AP50</f>
        <v>71877.56</v>
      </c>
      <c r="V51" s="298">
        <f>费用表!AN50</f>
        <v>999498.82</v>
      </c>
      <c r="W51" s="298">
        <f>费用表!AO50</f>
        <v>352993.59</v>
      </c>
      <c r="X51" s="298">
        <f>费用表!AQ50</f>
        <v>25153.2</v>
      </c>
      <c r="Y51" s="298">
        <f>费用表!AR50</f>
        <v>5974.42</v>
      </c>
      <c r="Z51" s="298">
        <f>费用表!AS50</f>
        <v>1256</v>
      </c>
      <c r="AA51" s="298">
        <f>费用表!AT50</f>
        <v>0</v>
      </c>
      <c r="AB51" s="298">
        <f>费用表!AM50</f>
        <v>192589.35</v>
      </c>
      <c r="AC51" s="298">
        <f>费用表!AD50</f>
        <v>402322.2</v>
      </c>
    </row>
    <row r="52" ht="14.25" spans="1:29">
      <c r="A52" s="23"/>
      <c r="B52" s="299" t="s">
        <v>4</v>
      </c>
      <c r="C52" s="291">
        <f>C51+C34+C20+C14</f>
        <v>729418188.97</v>
      </c>
      <c r="D52" s="300">
        <f>D51+D34+D20+D14</f>
        <v>63161.8</v>
      </c>
      <c r="E52" s="300">
        <f>SUM(费用表!C51:U51)+H52+S52+AB52+AC52</f>
        <v>32793789.35</v>
      </c>
      <c r="F52" s="300">
        <f t="shared" ref="F52:AC52" si="6">F51+F34+F20+F14</f>
        <v>362674765.68</v>
      </c>
      <c r="G52" s="300">
        <f t="shared" si="1"/>
        <v>13603994.45</v>
      </c>
      <c r="H52" s="300">
        <f t="shared" si="6"/>
        <v>7707765.86</v>
      </c>
      <c r="I52" s="300">
        <f t="shared" si="6"/>
        <v>3860633.11</v>
      </c>
      <c r="J52" s="300">
        <f t="shared" si="6"/>
        <v>3031204.27</v>
      </c>
      <c r="K52" s="300">
        <f t="shared" si="6"/>
        <v>6712157.07</v>
      </c>
      <c r="L52" s="300">
        <f t="shared" si="6"/>
        <v>25992135.01</v>
      </c>
      <c r="M52" s="300">
        <f t="shared" si="6"/>
        <v>3313436.16</v>
      </c>
      <c r="N52" s="300">
        <f t="shared" si="6"/>
        <v>4257451.63</v>
      </c>
      <c r="O52" s="300">
        <f t="shared" si="6"/>
        <v>1851663.99</v>
      </c>
      <c r="P52" s="300">
        <f t="shared" si="6"/>
        <v>7504979.22</v>
      </c>
      <c r="Q52" s="300">
        <f t="shared" si="6"/>
        <v>5114568.86</v>
      </c>
      <c r="R52" s="300">
        <f t="shared" si="6"/>
        <v>3950035.15</v>
      </c>
      <c r="S52" s="300">
        <f t="shared" si="6"/>
        <v>10570800.16</v>
      </c>
      <c r="T52" s="300">
        <f t="shared" si="6"/>
        <v>144952420.63</v>
      </c>
      <c r="U52" s="300">
        <f t="shared" si="6"/>
        <v>11216184.7</v>
      </c>
      <c r="V52" s="300">
        <f t="shared" si="6"/>
        <v>100693210</v>
      </c>
      <c r="W52" s="300">
        <f t="shared" si="6"/>
        <v>26600668.57</v>
      </c>
      <c r="X52" s="300">
        <f t="shared" si="6"/>
        <v>3429346.88</v>
      </c>
      <c r="Y52" s="300">
        <f t="shared" si="6"/>
        <v>2387232.37</v>
      </c>
      <c r="Z52" s="300">
        <f t="shared" si="6"/>
        <v>625778.11</v>
      </c>
      <c r="AA52" s="300">
        <f>费用表!AT51</f>
        <v>0</v>
      </c>
      <c r="AB52" s="300">
        <f t="shared" si="6"/>
        <v>6135485.94</v>
      </c>
      <c r="AC52" s="300">
        <f t="shared" si="6"/>
        <v>8379737.39</v>
      </c>
    </row>
    <row r="53" spans="1:29">
      <c r="A53" s="26"/>
      <c r="B53" s="27" t="s">
        <v>55</v>
      </c>
      <c r="C53" s="291">
        <f>D53+E53+F53+G53+L53+T53+AB53+AC53</f>
        <v>0</v>
      </c>
      <c r="D53" s="28"/>
      <c r="E53" s="28"/>
      <c r="F53" s="28"/>
      <c r="G53" s="28"/>
      <c r="H53" s="28"/>
      <c r="I53" s="28"/>
      <c r="J53" s="28"/>
      <c r="K53" s="28"/>
      <c r="L53" s="28"/>
      <c r="M53" s="33"/>
      <c r="N53" s="33"/>
      <c r="O53" s="33"/>
      <c r="P53" s="33"/>
      <c r="Q53" s="33"/>
      <c r="R53" s="33"/>
      <c r="S53" s="33"/>
      <c r="T53" s="28"/>
      <c r="U53" s="28"/>
      <c r="V53" s="33"/>
      <c r="W53" s="33"/>
      <c r="X53" s="33"/>
      <c r="Y53" s="33"/>
      <c r="Z53" s="33"/>
      <c r="AA53" s="33"/>
      <c r="AB53" s="33"/>
      <c r="AC53" s="28"/>
    </row>
    <row r="54" ht="14.25" spans="2:5">
      <c r="B54" s="301" t="s">
        <v>140</v>
      </c>
      <c r="E54" s="283">
        <v>0</v>
      </c>
    </row>
    <row r="55" spans="1:29">
      <c r="A55" s="26" t="s">
        <v>89</v>
      </c>
      <c r="B55" s="27" t="s">
        <v>90</v>
      </c>
      <c r="C55" s="28" t="s">
        <v>4</v>
      </c>
      <c r="D55" s="28" t="s">
        <v>5</v>
      </c>
      <c r="E55" s="28" t="s">
        <v>6</v>
      </c>
      <c r="F55" s="28" t="s">
        <v>7</v>
      </c>
      <c r="G55" s="28" t="s">
        <v>8</v>
      </c>
      <c r="H55" s="33" t="s">
        <v>9</v>
      </c>
      <c r="I55" s="33" t="s">
        <v>10</v>
      </c>
      <c r="J55" s="33" t="s">
        <v>11</v>
      </c>
      <c r="K55" s="33" t="s">
        <v>12</v>
      </c>
      <c r="L55" s="28" t="s">
        <v>13</v>
      </c>
      <c r="M55" s="33" t="s">
        <v>14</v>
      </c>
      <c r="N55" s="33" t="s">
        <v>15</v>
      </c>
      <c r="O55" s="33" t="s">
        <v>16</v>
      </c>
      <c r="P55" s="33" t="s">
        <v>17</v>
      </c>
      <c r="Q55" s="33" t="s">
        <v>18</v>
      </c>
      <c r="R55" s="33" t="s">
        <v>19</v>
      </c>
      <c r="S55" s="33" t="s">
        <v>20</v>
      </c>
      <c r="T55" s="28" t="s">
        <v>21</v>
      </c>
      <c r="U55" s="33" t="s">
        <v>22</v>
      </c>
      <c r="V55" s="33" t="s">
        <v>23</v>
      </c>
      <c r="W55" s="33" t="s">
        <v>24</v>
      </c>
      <c r="X55" s="33" t="s">
        <v>25</v>
      </c>
      <c r="Y55" s="33" t="s">
        <v>26</v>
      </c>
      <c r="Z55" s="33" t="s">
        <v>27</v>
      </c>
      <c r="AA55" s="33" t="s">
        <v>28</v>
      </c>
      <c r="AB55" s="28" t="s">
        <v>29</v>
      </c>
      <c r="AC55" s="28" t="s">
        <v>57</v>
      </c>
    </row>
    <row r="56" customHeight="1" spans="1:29">
      <c r="A56" s="7" t="s">
        <v>91</v>
      </c>
      <c r="B56" s="57" t="s">
        <v>92</v>
      </c>
      <c r="C56" s="291">
        <f>D56+E56+F56+G56+L56+T56</f>
        <v>0</v>
      </c>
      <c r="D56" s="302">
        <f>SUMIFS(考核调整事项表!$C:$C,考核调整事项表!$G:$G,累计考核费用!$B56,考核调整事项表!$D:$D,累计考核费用!D$55)+SUMIFS(考核调整事项表!$E:$E,考核调整事项表!$G:$G,累计考核费用!$B56,考核调整事项表!$F:$F,累计考核费用!D$55)</f>
        <v>8000000</v>
      </c>
      <c r="E56" s="302">
        <f>SUMIFS(考核调整事项表!$C:$C,考核调整事项表!$G:$G,累计考核费用!$B56,考核调整事项表!$D:$D,累计考核费用!E$55)+SUMIFS(考核调整事项表!$E:$E,考核调整事项表!$G:$G,累计考核费用!$B56,考核调整事项表!$F:$F,累计考核费用!E$55)+H56+S56+AB56+AC56</f>
        <v>-3163232.46</v>
      </c>
      <c r="F56" s="302">
        <f>SUMIFS(考核调整事项表!$C:$C,考核调整事项表!$G:$G,累计考核费用!$B56,考核调整事项表!$D:$D,累计考核费用!F$55)+SUMIFS(考核调整事项表!$E:$E,考核调整事项表!$G:$G,累计考核费用!$B56,考核调整事项表!$F:$F,累计考核费用!F$55)</f>
        <v>-3435530.48</v>
      </c>
      <c r="G56" s="302">
        <f>SUM(I56:K56)</f>
        <v>0</v>
      </c>
      <c r="H56" s="302">
        <f>SUMIFS(考核调整事项表!$C:$C,考核调整事项表!$G:$G,累计考核费用!$B56,考核调整事项表!$D:$D,累计考核费用!H$55)+SUMIFS(考核调整事项表!$E:$E,考核调整事项表!$G:$G,累计考核费用!$B56,考核调整事项表!$F:$F,累计考核费用!H$55)</f>
        <v>0</v>
      </c>
      <c r="I56" s="302">
        <f>SUMIFS(考核调整事项表!$C:$C,考核调整事项表!$G:$G,累计考核费用!$B56,考核调整事项表!$D:$D,累计考核费用!I$55)+SUMIFS(考核调整事项表!$E:$E,考核调整事项表!$G:$G,累计考核费用!$B56,考核调整事项表!$F:$F,累计考核费用!I$55)</f>
        <v>0</v>
      </c>
      <c r="J56" s="302">
        <f>SUMIFS(考核调整事项表!$C:$C,考核调整事项表!$G:$G,累计考核费用!$B56,考核调整事项表!$D:$D,累计考核费用!J$55)+SUMIFS(考核调整事项表!$E:$E,考核调整事项表!$G:$G,累计考核费用!$B56,考核调整事项表!$F:$F,累计考核费用!J$55)</f>
        <v>0</v>
      </c>
      <c r="K56" s="302">
        <f>SUMIFS(考核调整事项表!$C:$C,考核调整事项表!$G:$G,累计考核费用!$B56,考核调整事项表!$D:$D,累计考核费用!K$55)+SUMIFS(考核调整事项表!$E:$E,考核调整事项表!$G:$G,累计考核费用!$B56,考核调整事项表!$F:$F,累计考核费用!K$55)</f>
        <v>0</v>
      </c>
      <c r="L56" s="302">
        <f>SUM(M56:R56)</f>
        <v>0</v>
      </c>
      <c r="M56" s="302">
        <f>SUMIFS(考核调整事项表!$C:$C,考核调整事项表!$G:$G,累计考核费用!$B56,考核调整事项表!$D:$D,累计考核费用!M$55)+SUMIFS(考核调整事项表!$E:$E,考核调整事项表!$G:$G,累计考核费用!$B56,考核调整事项表!$F:$F,累计考核费用!M$55)</f>
        <v>0</v>
      </c>
      <c r="N56" s="302">
        <f>SUMIFS(考核调整事项表!$C:$C,考核调整事项表!$G:$G,累计考核费用!$B56,考核调整事项表!$D:$D,累计考核费用!N$55)+SUMIFS(考核调整事项表!$E:$E,考核调整事项表!$G:$G,累计考核费用!$B56,考核调整事项表!$F:$F,累计考核费用!N$55)</f>
        <v>0</v>
      </c>
      <c r="O56" s="302">
        <f>SUMIFS(考核调整事项表!$C:$C,考核调整事项表!$G:$G,累计考核费用!$B56,考核调整事项表!$D:$D,累计考核费用!O$55)+SUMIFS(考核调整事项表!$E:$E,考核调整事项表!$G:$G,累计考核费用!$B56,考核调整事项表!$F:$F,累计考核费用!O$55)</f>
        <v>0</v>
      </c>
      <c r="P56" s="302">
        <f>SUMIFS(考核调整事项表!$C:$C,考核调整事项表!$G:$G,累计考核费用!$B56,考核调整事项表!$D:$D,累计考核费用!P$55)+SUMIFS(考核调整事项表!$E:$E,考核调整事项表!$G:$G,累计考核费用!$B56,考核调整事项表!$F:$F,累计考核费用!P$55)</f>
        <v>0</v>
      </c>
      <c r="Q56" s="302">
        <f>SUMIFS(考核调整事项表!$C:$C,考核调整事项表!$G:$G,累计考核费用!$B56,考核调整事项表!$D:$D,累计考核费用!Q$55)+SUMIFS(考核调整事项表!$E:$E,考核调整事项表!$G:$G,累计考核费用!$B56,考核调整事项表!$F:$F,累计考核费用!Q$55)</f>
        <v>0</v>
      </c>
      <c r="R56" s="302">
        <f>SUMIFS(考核调整事项表!$C:$C,考核调整事项表!$G:$G,累计考核费用!$B56,考核调整事项表!$D:$D,累计考核费用!R$55)+SUMIFS(考核调整事项表!$E:$E,考核调整事项表!$G:$G,累计考核费用!$B56,考核调整事项表!$F:$F,累计考核费用!R$55)</f>
        <v>0</v>
      </c>
      <c r="S56" s="302">
        <f>SUMIFS(考核调整事项表!$C:$C,考核调整事项表!$G:$G,累计考核费用!$B56,考核调整事项表!$D:$D,累计考核费用!S$55)+SUMIFS(考核调整事项表!$E:$E,考核调整事项表!$G:$G,累计考核费用!$B56,考核调整事项表!$F:$F,累计考核费用!S$55)</f>
        <v>0</v>
      </c>
      <c r="T56" s="305">
        <f>SUM(U56:AA56)</f>
        <v>-1401237.06</v>
      </c>
      <c r="U56" s="302">
        <f>SUMIFS(考核调整事项表!$C:$C,考核调整事项表!$G:$G,累计考核费用!$B56,考核调整事项表!$D:$D,累计考核费用!U$55)+SUMIFS(考核调整事项表!$E:$E,考核调整事项表!$G:$G,累计考核费用!$B56,考核调整事项表!$F:$F,累计考核费用!U$55)</f>
        <v>0</v>
      </c>
      <c r="V56" s="302">
        <f>SUMIFS(考核调整事项表!$C:$C,考核调整事项表!$G:$G,累计考核费用!$B56,考核调整事项表!$D:$D,累计考核费用!V$55)+SUMIFS(考核调整事项表!$E:$E,考核调整事项表!$G:$G,累计考核费用!$B56,考核调整事项表!$F:$F,累计考核费用!V$55)</f>
        <v>0</v>
      </c>
      <c r="W56" s="302">
        <f>SUMIFS(考核调整事项表!$C:$C,考核调整事项表!$G:$G,累计考核费用!$B56,考核调整事项表!$D:$D,累计考核费用!W$55)+SUMIFS(考核调整事项表!$E:$E,考核调整事项表!$G:$G,累计考核费用!$B56,考核调整事项表!$F:$F,累计考核费用!W$55)</f>
        <v>-2077354.66</v>
      </c>
      <c r="X56" s="302">
        <f>SUMIFS(考核调整事项表!$C:$C,考核调整事项表!$G:$G,累计考核费用!$B56,考核调整事项表!$D:$D,累计考核费用!X$55)+SUMIFS(考核调整事项表!$E:$E,考核调整事项表!$G:$G,累计考核费用!$B56,考核调整事项表!$F:$F,累计考核费用!X$55)</f>
        <v>0</v>
      </c>
      <c r="Y56" s="302">
        <f>SUMIFS(考核调整事项表!$C:$C,考核调整事项表!$G:$G,累计考核费用!$B56,考核调整事项表!$D:$D,累计考核费用!Y$55)+SUMIFS(考核调整事项表!$E:$E,考核调整事项表!$G:$G,累计考核费用!$B56,考核调整事项表!$F:$F,累计考核费用!Y$55)</f>
        <v>0</v>
      </c>
      <c r="Z56" s="302">
        <f>SUMIFS(考核调整事项表!$C:$C,考核调整事项表!$G:$G,累计考核费用!$B56,考核调整事项表!$D:$D,累计考核费用!Z$55)+SUMIFS(考核调整事项表!$E:$E,考核调整事项表!$G:$G,累计考核费用!$B56,考核调整事项表!$F:$F,累计考核费用!Z$55)</f>
        <v>0</v>
      </c>
      <c r="AA56" s="302">
        <f>SUMIFS(考核调整事项表!$C:$C,考核调整事项表!$G:$G,累计考核费用!$B56,考核调整事项表!$D:$D,累计考核费用!AA$55)+SUMIFS(考核调整事项表!$E:$E,考核调整事项表!$G:$G,累计考核费用!$B56,考核调整事项表!$F:$F,累计考核费用!AA$55)</f>
        <v>676117.6</v>
      </c>
      <c r="AB56" s="302">
        <f>SUMIFS(考核调整事项表!$C:$C,考核调整事项表!$G:$G,累计考核费用!$B56,考核调整事项表!$D:$D,累计考核费用!AB$55)+SUMIFS(考核调整事项表!$E:$E,考核调整事项表!$G:$G,累计考核费用!$B56,考核调整事项表!$F:$F,累计考核费用!AB$55)</f>
        <v>1401237.06</v>
      </c>
      <c r="AC56" s="302">
        <f>SUMIFS(考核调整事项表!$C:$C,考核调整事项表!$G:$G,累计考核费用!$B56,考核调整事项表!$D:$D,累计考核费用!AC$55)+SUMIFS(考核调整事项表!$E:$E,考核调整事项表!$G:$G,累计考核费用!$B56,考核调整事项表!$F:$F,累计考核费用!AC$55)</f>
        <v>0</v>
      </c>
    </row>
    <row r="57" spans="1:29">
      <c r="A57" s="10"/>
      <c r="B57" s="57" t="s">
        <v>93</v>
      </c>
      <c r="C57" s="11">
        <f t="shared" ref="C57:C104" si="7">D57+E57+F57+G57+L57+T57</f>
        <v>0</v>
      </c>
      <c r="D57" s="302">
        <f>SUMIFS(考核调整事项表!$C:$C,考核调整事项表!$G:$G,累计考核费用!$B57,考核调整事项表!$D:$D,累计考核费用!D$55)+SUMIFS(考核调整事项表!$E:$E,考核调整事项表!$G:$G,累计考核费用!$B57,考核调整事项表!$F:$F,累计考核费用!D$55)</f>
        <v>0</v>
      </c>
      <c r="E57" s="302">
        <f>SUMIFS(考核调整事项表!$C:$C,考核调整事项表!$G:$G,累计考核费用!$B57,考核调整事项表!$D:$D,累计考核费用!E$55)+SUMIFS(考核调整事项表!$E:$E,考核调整事项表!$G:$G,累计考核费用!$B57,考核调整事项表!$F:$F,累计考核费用!E$55)+H57+S57+AB57+AC57</f>
        <v>0</v>
      </c>
      <c r="F57" s="302">
        <f>SUMIFS(考核调整事项表!$C:$C,考核调整事项表!$G:$G,累计考核费用!$B57,考核调整事项表!$D:$D,累计考核费用!F$55)+SUMIFS(考核调整事项表!$E:$E,考核调整事项表!$G:$G,累计考核费用!$B57,考核调整事项表!$F:$F,累计考核费用!F$55)</f>
        <v>0</v>
      </c>
      <c r="G57" s="302">
        <f t="shared" ref="G57:G102" si="8">SUM(I57:K57)</f>
        <v>0</v>
      </c>
      <c r="H57" s="302">
        <f>SUMIFS(考核调整事项表!$C:$C,考核调整事项表!$G:$G,累计考核费用!$B57,考核调整事项表!$D:$D,累计考核费用!H$55)+SUMIFS(考核调整事项表!$E:$E,考核调整事项表!$G:$G,累计考核费用!$B57,考核调整事项表!$F:$F,累计考核费用!H$55)</f>
        <v>0</v>
      </c>
      <c r="I57" s="302">
        <f>SUMIFS(考核调整事项表!$C:$C,考核调整事项表!$G:$G,累计考核费用!$B57,考核调整事项表!$D:$D,累计考核费用!I$55)+SUMIFS(考核调整事项表!$E:$E,考核调整事项表!$G:$G,累计考核费用!$B57,考核调整事项表!$F:$F,累计考核费用!I$55)</f>
        <v>0</v>
      </c>
      <c r="J57" s="302">
        <f>SUMIFS(考核调整事项表!$C:$C,考核调整事项表!$G:$G,累计考核费用!$B57,考核调整事项表!$D:$D,累计考核费用!J$55)+SUMIFS(考核调整事项表!$E:$E,考核调整事项表!$G:$G,累计考核费用!$B57,考核调整事项表!$F:$F,累计考核费用!J$55)</f>
        <v>0</v>
      </c>
      <c r="K57" s="302">
        <f>SUMIFS(考核调整事项表!$C:$C,考核调整事项表!$G:$G,累计考核费用!$B57,考核调整事项表!$D:$D,累计考核费用!K$55)+SUMIFS(考核调整事项表!$E:$E,考核调整事项表!$G:$G,累计考核费用!$B57,考核调整事项表!$F:$F,累计考核费用!K$55)</f>
        <v>0</v>
      </c>
      <c r="L57" s="302">
        <f t="shared" ref="L57:L102" si="9">SUM(M57:R57)</f>
        <v>0</v>
      </c>
      <c r="M57" s="302">
        <f>SUMIFS(考核调整事项表!$C:$C,考核调整事项表!$G:$G,累计考核费用!$B57,考核调整事项表!$D:$D,累计考核费用!M$55)+SUMIFS(考核调整事项表!$E:$E,考核调整事项表!$G:$G,累计考核费用!$B57,考核调整事项表!$F:$F,累计考核费用!M$55)</f>
        <v>0</v>
      </c>
      <c r="N57" s="302">
        <f>SUMIFS(考核调整事项表!$C:$C,考核调整事项表!$G:$G,累计考核费用!$B57,考核调整事项表!$D:$D,累计考核费用!N$55)+SUMIFS(考核调整事项表!$E:$E,考核调整事项表!$G:$G,累计考核费用!$B57,考核调整事项表!$F:$F,累计考核费用!N$55)</f>
        <v>0</v>
      </c>
      <c r="O57" s="302">
        <f>SUMIFS(考核调整事项表!$C:$C,考核调整事项表!$G:$G,累计考核费用!$B57,考核调整事项表!$D:$D,累计考核费用!O$55)+SUMIFS(考核调整事项表!$E:$E,考核调整事项表!$G:$G,累计考核费用!$B57,考核调整事项表!$F:$F,累计考核费用!O$55)</f>
        <v>0</v>
      </c>
      <c r="P57" s="302">
        <f>SUMIFS(考核调整事项表!$C:$C,考核调整事项表!$G:$G,累计考核费用!$B57,考核调整事项表!$D:$D,累计考核费用!P$55)+SUMIFS(考核调整事项表!$E:$E,考核调整事项表!$G:$G,累计考核费用!$B57,考核调整事项表!$F:$F,累计考核费用!P$55)</f>
        <v>0</v>
      </c>
      <c r="Q57" s="302">
        <f>SUMIFS(考核调整事项表!$C:$C,考核调整事项表!$G:$G,累计考核费用!$B57,考核调整事项表!$D:$D,累计考核费用!Q$55)+SUMIFS(考核调整事项表!$E:$E,考核调整事项表!$G:$G,累计考核费用!$B57,考核调整事项表!$F:$F,累计考核费用!Q$55)</f>
        <v>0</v>
      </c>
      <c r="R57" s="302">
        <f>SUMIFS(考核调整事项表!$C:$C,考核调整事项表!$G:$G,累计考核费用!$B57,考核调整事项表!$D:$D,累计考核费用!R$55)+SUMIFS(考核调整事项表!$E:$E,考核调整事项表!$G:$G,累计考核费用!$B57,考核调整事项表!$F:$F,累计考核费用!R$55)</f>
        <v>0</v>
      </c>
      <c r="S57" s="302">
        <f>SUMIFS(考核调整事项表!$C:$C,考核调整事项表!$G:$G,累计考核费用!$B57,考核调整事项表!$D:$D,累计考核费用!S$55)+SUMIFS(考核调整事项表!$E:$E,考核调整事项表!$G:$G,累计考核费用!$B57,考核调整事项表!$F:$F,累计考核费用!S$55)</f>
        <v>0</v>
      </c>
      <c r="T57" s="305">
        <f t="shared" ref="T57:T71" si="10">SUM(U57:AA57)</f>
        <v>0</v>
      </c>
      <c r="U57" s="302">
        <f>SUMIFS(考核调整事项表!$C:$C,考核调整事项表!$G:$G,累计考核费用!$B57,考核调整事项表!$D:$D,累计考核费用!U$55)+SUMIFS(考核调整事项表!$E:$E,考核调整事项表!$G:$G,累计考核费用!$B57,考核调整事项表!$F:$F,累计考核费用!U$55)</f>
        <v>0</v>
      </c>
      <c r="V57" s="302">
        <f>SUMIFS(考核调整事项表!$C:$C,考核调整事项表!$G:$G,累计考核费用!$B57,考核调整事项表!$D:$D,累计考核费用!V$55)+SUMIFS(考核调整事项表!$E:$E,考核调整事项表!$G:$G,累计考核费用!$B57,考核调整事项表!$F:$F,累计考核费用!V$55)</f>
        <v>0</v>
      </c>
      <c r="W57" s="302">
        <f>SUMIFS(考核调整事项表!$C:$C,考核调整事项表!$G:$G,累计考核费用!$B57,考核调整事项表!$D:$D,累计考核费用!W$55)+SUMIFS(考核调整事项表!$E:$E,考核调整事项表!$G:$G,累计考核费用!$B57,考核调整事项表!$F:$F,累计考核费用!W$55)</f>
        <v>0</v>
      </c>
      <c r="X57" s="302">
        <f>SUMIFS(考核调整事项表!$C:$C,考核调整事项表!$G:$G,累计考核费用!$B57,考核调整事项表!$D:$D,累计考核费用!X$55)+SUMIFS(考核调整事项表!$E:$E,考核调整事项表!$G:$G,累计考核费用!$B57,考核调整事项表!$F:$F,累计考核费用!X$55)</f>
        <v>0</v>
      </c>
      <c r="Y57" s="302">
        <f>SUMIFS(考核调整事项表!$C:$C,考核调整事项表!$G:$G,累计考核费用!$B57,考核调整事项表!$D:$D,累计考核费用!Y$55)+SUMIFS(考核调整事项表!$E:$E,考核调整事项表!$G:$G,累计考核费用!$B57,考核调整事项表!$F:$F,累计考核费用!Y$55)</f>
        <v>0</v>
      </c>
      <c r="Z57" s="302">
        <f>SUMIFS(考核调整事项表!$C:$C,考核调整事项表!$G:$G,累计考核费用!$B57,考核调整事项表!$D:$D,累计考核费用!Z$55)+SUMIFS(考核调整事项表!$E:$E,考核调整事项表!$G:$G,累计考核费用!$B57,考核调整事项表!$F:$F,累计考核费用!Z$55)</f>
        <v>0</v>
      </c>
      <c r="AA57" s="302">
        <f>SUMIFS(考核调整事项表!$C:$C,考核调整事项表!$G:$G,累计考核费用!$B57,考核调整事项表!$D:$D,累计考核费用!AA$55)+SUMIFS(考核调整事项表!$E:$E,考核调整事项表!$G:$G,累计考核费用!$B57,考核调整事项表!$F:$F,累计考核费用!AA$55)</f>
        <v>0</v>
      </c>
      <c r="AB57" s="302">
        <f>SUMIFS(考核调整事项表!$C:$C,考核调整事项表!$G:$G,累计考核费用!$B57,考核调整事项表!$D:$D,累计考核费用!AB$55)+SUMIFS(考核调整事项表!$E:$E,考核调整事项表!$G:$G,累计考核费用!$B57,考核调整事项表!$F:$F,累计考核费用!AB$55)</f>
        <v>0</v>
      </c>
      <c r="AC57" s="302">
        <f>SUMIFS(考核调整事项表!$C:$C,考核调整事项表!$G:$G,累计考核费用!$B57,考核调整事项表!$D:$D,累计考核费用!AC$55)+SUMIFS(考核调整事项表!$E:$E,考核调整事项表!$G:$G,累计考核费用!$B57,考核调整事项表!$F:$F,累计考核费用!AC$55)</f>
        <v>0</v>
      </c>
    </row>
    <row r="58" spans="1:29">
      <c r="A58" s="10"/>
      <c r="B58" s="57" t="s">
        <v>94</v>
      </c>
      <c r="C58" s="11">
        <f t="shared" si="7"/>
        <v>0</v>
      </c>
      <c r="D58" s="302">
        <f>SUMIFS(考核调整事项表!$C:$C,考核调整事项表!$G:$G,累计考核费用!$B58,考核调整事项表!$D:$D,累计考核费用!D$55)+SUMIFS(考核调整事项表!$E:$E,考核调整事项表!$G:$G,累计考核费用!$B58,考核调整事项表!$F:$F,累计考核费用!D$55)</f>
        <v>0</v>
      </c>
      <c r="E58" s="302">
        <f>SUMIFS(考核调整事项表!$C:$C,考核调整事项表!$G:$G,累计考核费用!$B58,考核调整事项表!$D:$D,累计考核费用!E$55)+SUMIFS(考核调整事项表!$E:$E,考核调整事项表!$G:$G,累计考核费用!$B58,考核调整事项表!$F:$F,累计考核费用!E$55)+H58+S58+AB58+AC58</f>
        <v>0</v>
      </c>
      <c r="F58" s="302">
        <f>SUMIFS(考核调整事项表!$C:$C,考核调整事项表!$G:$G,累计考核费用!$B58,考核调整事项表!$D:$D,累计考核费用!F$55)+SUMIFS(考核调整事项表!$E:$E,考核调整事项表!$G:$G,累计考核费用!$B58,考核调整事项表!$F:$F,累计考核费用!F$55)</f>
        <v>0</v>
      </c>
      <c r="G58" s="302">
        <f t="shared" si="8"/>
        <v>0</v>
      </c>
      <c r="H58" s="302">
        <f>SUMIFS(考核调整事项表!$C:$C,考核调整事项表!$G:$G,累计考核费用!$B58,考核调整事项表!$D:$D,累计考核费用!H$55)+SUMIFS(考核调整事项表!$E:$E,考核调整事项表!$G:$G,累计考核费用!$B58,考核调整事项表!$F:$F,累计考核费用!H$55)</f>
        <v>0</v>
      </c>
      <c r="I58" s="302">
        <f>SUMIFS(考核调整事项表!$C:$C,考核调整事项表!$G:$G,累计考核费用!$B58,考核调整事项表!$D:$D,累计考核费用!I$55)+SUMIFS(考核调整事项表!$E:$E,考核调整事项表!$G:$G,累计考核费用!$B58,考核调整事项表!$F:$F,累计考核费用!I$55)</f>
        <v>0</v>
      </c>
      <c r="J58" s="302">
        <f>SUMIFS(考核调整事项表!$C:$C,考核调整事项表!$G:$G,累计考核费用!$B58,考核调整事项表!$D:$D,累计考核费用!J$55)+SUMIFS(考核调整事项表!$E:$E,考核调整事项表!$G:$G,累计考核费用!$B58,考核调整事项表!$F:$F,累计考核费用!J$55)</f>
        <v>0</v>
      </c>
      <c r="K58" s="302">
        <f>SUMIFS(考核调整事项表!$C:$C,考核调整事项表!$G:$G,累计考核费用!$B58,考核调整事项表!$D:$D,累计考核费用!K$55)+SUMIFS(考核调整事项表!$E:$E,考核调整事项表!$G:$G,累计考核费用!$B58,考核调整事项表!$F:$F,累计考核费用!K$55)</f>
        <v>0</v>
      </c>
      <c r="L58" s="302">
        <f t="shared" si="9"/>
        <v>0</v>
      </c>
      <c r="M58" s="302">
        <f>SUMIFS(考核调整事项表!$C:$C,考核调整事项表!$G:$G,累计考核费用!$B58,考核调整事项表!$D:$D,累计考核费用!M$55)+SUMIFS(考核调整事项表!$E:$E,考核调整事项表!$G:$G,累计考核费用!$B58,考核调整事项表!$F:$F,累计考核费用!M$55)</f>
        <v>0</v>
      </c>
      <c r="N58" s="302">
        <f>SUMIFS(考核调整事项表!$C:$C,考核调整事项表!$G:$G,累计考核费用!$B58,考核调整事项表!$D:$D,累计考核费用!N$55)+SUMIFS(考核调整事项表!$E:$E,考核调整事项表!$G:$G,累计考核费用!$B58,考核调整事项表!$F:$F,累计考核费用!N$55)</f>
        <v>0</v>
      </c>
      <c r="O58" s="302">
        <f>SUMIFS(考核调整事项表!$C:$C,考核调整事项表!$G:$G,累计考核费用!$B58,考核调整事项表!$D:$D,累计考核费用!O$55)+SUMIFS(考核调整事项表!$E:$E,考核调整事项表!$G:$G,累计考核费用!$B58,考核调整事项表!$F:$F,累计考核费用!O$55)</f>
        <v>0</v>
      </c>
      <c r="P58" s="302">
        <f>SUMIFS(考核调整事项表!$C:$C,考核调整事项表!$G:$G,累计考核费用!$B58,考核调整事项表!$D:$D,累计考核费用!P$55)+SUMIFS(考核调整事项表!$E:$E,考核调整事项表!$G:$G,累计考核费用!$B58,考核调整事项表!$F:$F,累计考核费用!P$55)</f>
        <v>0</v>
      </c>
      <c r="Q58" s="302">
        <f>SUMIFS(考核调整事项表!$C:$C,考核调整事项表!$G:$G,累计考核费用!$B58,考核调整事项表!$D:$D,累计考核费用!Q$55)+SUMIFS(考核调整事项表!$E:$E,考核调整事项表!$G:$G,累计考核费用!$B58,考核调整事项表!$F:$F,累计考核费用!Q$55)</f>
        <v>0</v>
      </c>
      <c r="R58" s="302">
        <f>SUMIFS(考核调整事项表!$C:$C,考核调整事项表!$G:$G,累计考核费用!$B58,考核调整事项表!$D:$D,累计考核费用!R$55)+SUMIFS(考核调整事项表!$E:$E,考核调整事项表!$G:$G,累计考核费用!$B58,考核调整事项表!$F:$F,累计考核费用!R$55)</f>
        <v>0</v>
      </c>
      <c r="S58" s="302">
        <f>SUMIFS(考核调整事项表!$C:$C,考核调整事项表!$G:$G,累计考核费用!$B58,考核调整事项表!$D:$D,累计考核费用!S$55)+SUMIFS(考核调整事项表!$E:$E,考核调整事项表!$G:$G,累计考核费用!$B58,考核调整事项表!$F:$F,累计考核费用!S$55)</f>
        <v>0</v>
      </c>
      <c r="T58" s="305">
        <f t="shared" si="10"/>
        <v>0</v>
      </c>
      <c r="U58" s="302">
        <f>SUMIFS(考核调整事项表!$C:$C,考核调整事项表!$G:$G,累计考核费用!$B58,考核调整事项表!$D:$D,累计考核费用!U$55)+SUMIFS(考核调整事项表!$E:$E,考核调整事项表!$G:$G,累计考核费用!$B58,考核调整事项表!$F:$F,累计考核费用!U$55)</f>
        <v>0</v>
      </c>
      <c r="V58" s="302">
        <f>SUMIFS(考核调整事项表!$C:$C,考核调整事项表!$G:$G,累计考核费用!$B58,考核调整事项表!$D:$D,累计考核费用!V$55)+SUMIFS(考核调整事项表!$E:$E,考核调整事项表!$G:$G,累计考核费用!$B58,考核调整事项表!$F:$F,累计考核费用!V$55)</f>
        <v>0</v>
      </c>
      <c r="W58" s="302">
        <f>SUMIFS(考核调整事项表!$C:$C,考核调整事项表!$G:$G,累计考核费用!$B58,考核调整事项表!$D:$D,累计考核费用!W$55)+SUMIFS(考核调整事项表!$E:$E,考核调整事项表!$G:$G,累计考核费用!$B58,考核调整事项表!$F:$F,累计考核费用!W$55)</f>
        <v>0</v>
      </c>
      <c r="X58" s="302">
        <f>SUMIFS(考核调整事项表!$C:$C,考核调整事项表!$G:$G,累计考核费用!$B58,考核调整事项表!$D:$D,累计考核费用!X$55)+SUMIFS(考核调整事项表!$E:$E,考核调整事项表!$G:$G,累计考核费用!$B58,考核调整事项表!$F:$F,累计考核费用!X$55)</f>
        <v>0</v>
      </c>
      <c r="Y58" s="302">
        <f>SUMIFS(考核调整事项表!$C:$C,考核调整事项表!$G:$G,累计考核费用!$B58,考核调整事项表!$D:$D,累计考核费用!Y$55)+SUMIFS(考核调整事项表!$E:$E,考核调整事项表!$G:$G,累计考核费用!$B58,考核调整事项表!$F:$F,累计考核费用!Y$55)</f>
        <v>0</v>
      </c>
      <c r="Z58" s="302">
        <f>SUMIFS(考核调整事项表!$C:$C,考核调整事项表!$G:$G,累计考核费用!$B58,考核调整事项表!$D:$D,累计考核费用!Z$55)+SUMIFS(考核调整事项表!$E:$E,考核调整事项表!$G:$G,累计考核费用!$B58,考核调整事项表!$F:$F,累计考核费用!Z$55)</f>
        <v>0</v>
      </c>
      <c r="AA58" s="302">
        <f>SUMIFS(考核调整事项表!$C:$C,考核调整事项表!$G:$G,累计考核费用!$B58,考核调整事项表!$D:$D,累计考核费用!AA$55)+SUMIFS(考核调整事项表!$E:$E,考核调整事项表!$G:$G,累计考核费用!$B58,考核调整事项表!$F:$F,累计考核费用!AA$55)</f>
        <v>0</v>
      </c>
      <c r="AB58" s="302">
        <f>SUMIFS(考核调整事项表!$C:$C,考核调整事项表!$G:$G,累计考核费用!$B58,考核调整事项表!$D:$D,累计考核费用!AB$55)+SUMIFS(考核调整事项表!$E:$E,考核调整事项表!$G:$G,累计考核费用!$B58,考核调整事项表!$F:$F,累计考核费用!AB$55)</f>
        <v>0</v>
      </c>
      <c r="AC58" s="302">
        <f>SUMIFS(考核调整事项表!$C:$C,考核调整事项表!$G:$G,累计考核费用!$B58,考核调整事项表!$D:$D,累计考核费用!AC$55)+SUMIFS(考核调整事项表!$E:$E,考核调整事项表!$G:$G,累计考核费用!$B58,考核调整事项表!$F:$F,累计考核费用!AC$55)</f>
        <v>0</v>
      </c>
    </row>
    <row r="59" spans="1:29">
      <c r="A59" s="10"/>
      <c r="B59" s="57" t="s">
        <v>95</v>
      </c>
      <c r="C59" s="11">
        <f t="shared" si="7"/>
        <v>0</v>
      </c>
      <c r="D59" s="302">
        <f>SUMIFS(考核调整事项表!$C:$C,考核调整事项表!$G:$G,累计考核费用!$B59,考核调整事项表!$D:$D,累计考核费用!D$55)+SUMIFS(考核调整事项表!$E:$E,考核调整事项表!$G:$G,累计考核费用!$B59,考核调整事项表!$F:$F,累计考核费用!D$55)</f>
        <v>0</v>
      </c>
      <c r="E59" s="302">
        <f>SUMIFS(考核调整事项表!$C:$C,考核调整事项表!$G:$G,累计考核费用!$B59,考核调整事项表!$D:$D,累计考核费用!E$55)+SUMIFS(考核调整事项表!$E:$E,考核调整事项表!$G:$G,累计考核费用!$B59,考核调整事项表!$F:$F,累计考核费用!E$55)+H59+S59+AB59+AC59</f>
        <v>0</v>
      </c>
      <c r="F59" s="302">
        <f>SUMIFS(考核调整事项表!$C:$C,考核调整事项表!$G:$G,累计考核费用!$B59,考核调整事项表!$D:$D,累计考核费用!F$55)+SUMIFS(考核调整事项表!$E:$E,考核调整事项表!$G:$G,累计考核费用!$B59,考核调整事项表!$F:$F,累计考核费用!F$55)</f>
        <v>0</v>
      </c>
      <c r="G59" s="302">
        <f t="shared" si="8"/>
        <v>0</v>
      </c>
      <c r="H59" s="302">
        <f>SUMIFS(考核调整事项表!$C:$C,考核调整事项表!$G:$G,累计考核费用!$B59,考核调整事项表!$D:$D,累计考核费用!H$55)+SUMIFS(考核调整事项表!$E:$E,考核调整事项表!$G:$G,累计考核费用!$B59,考核调整事项表!$F:$F,累计考核费用!H$55)</f>
        <v>0</v>
      </c>
      <c r="I59" s="302">
        <f>SUMIFS(考核调整事项表!$C:$C,考核调整事项表!$G:$G,累计考核费用!$B59,考核调整事项表!$D:$D,累计考核费用!I$55)+SUMIFS(考核调整事项表!$E:$E,考核调整事项表!$G:$G,累计考核费用!$B59,考核调整事项表!$F:$F,累计考核费用!I$55)</f>
        <v>0</v>
      </c>
      <c r="J59" s="302">
        <f>SUMIFS(考核调整事项表!$C:$C,考核调整事项表!$G:$G,累计考核费用!$B59,考核调整事项表!$D:$D,累计考核费用!J$55)+SUMIFS(考核调整事项表!$E:$E,考核调整事项表!$G:$G,累计考核费用!$B59,考核调整事项表!$F:$F,累计考核费用!J$55)</f>
        <v>0</v>
      </c>
      <c r="K59" s="302">
        <f>SUMIFS(考核调整事项表!$C:$C,考核调整事项表!$G:$G,累计考核费用!$B59,考核调整事项表!$D:$D,累计考核费用!K$55)+SUMIFS(考核调整事项表!$E:$E,考核调整事项表!$G:$G,累计考核费用!$B59,考核调整事项表!$F:$F,累计考核费用!K$55)</f>
        <v>0</v>
      </c>
      <c r="L59" s="302">
        <f t="shared" si="9"/>
        <v>0</v>
      </c>
      <c r="M59" s="302">
        <f>SUMIFS(考核调整事项表!$C:$C,考核调整事项表!$G:$G,累计考核费用!$B59,考核调整事项表!$D:$D,累计考核费用!M$55)+SUMIFS(考核调整事项表!$E:$E,考核调整事项表!$G:$G,累计考核费用!$B59,考核调整事项表!$F:$F,累计考核费用!M$55)</f>
        <v>0</v>
      </c>
      <c r="N59" s="302">
        <f>SUMIFS(考核调整事项表!$C:$C,考核调整事项表!$G:$G,累计考核费用!$B59,考核调整事项表!$D:$D,累计考核费用!N$55)+SUMIFS(考核调整事项表!$E:$E,考核调整事项表!$G:$G,累计考核费用!$B59,考核调整事项表!$F:$F,累计考核费用!N$55)</f>
        <v>0</v>
      </c>
      <c r="O59" s="302">
        <f>SUMIFS(考核调整事项表!$C:$C,考核调整事项表!$G:$G,累计考核费用!$B59,考核调整事项表!$D:$D,累计考核费用!O$55)+SUMIFS(考核调整事项表!$E:$E,考核调整事项表!$G:$G,累计考核费用!$B59,考核调整事项表!$F:$F,累计考核费用!O$55)</f>
        <v>0</v>
      </c>
      <c r="P59" s="302">
        <f>SUMIFS(考核调整事项表!$C:$C,考核调整事项表!$G:$G,累计考核费用!$B59,考核调整事项表!$D:$D,累计考核费用!P$55)+SUMIFS(考核调整事项表!$E:$E,考核调整事项表!$G:$G,累计考核费用!$B59,考核调整事项表!$F:$F,累计考核费用!P$55)</f>
        <v>0</v>
      </c>
      <c r="Q59" s="302">
        <f>SUMIFS(考核调整事项表!$C:$C,考核调整事项表!$G:$G,累计考核费用!$B59,考核调整事项表!$D:$D,累计考核费用!Q$55)+SUMIFS(考核调整事项表!$E:$E,考核调整事项表!$G:$G,累计考核费用!$B59,考核调整事项表!$F:$F,累计考核费用!Q$55)</f>
        <v>0</v>
      </c>
      <c r="R59" s="302">
        <f>SUMIFS(考核调整事项表!$C:$C,考核调整事项表!$G:$G,累计考核费用!$B59,考核调整事项表!$D:$D,累计考核费用!R$55)+SUMIFS(考核调整事项表!$E:$E,考核调整事项表!$G:$G,累计考核费用!$B59,考核调整事项表!$F:$F,累计考核费用!R$55)</f>
        <v>0</v>
      </c>
      <c r="S59" s="302">
        <f>SUMIFS(考核调整事项表!$C:$C,考核调整事项表!$G:$G,累计考核费用!$B59,考核调整事项表!$D:$D,累计考核费用!S$55)+SUMIFS(考核调整事项表!$E:$E,考核调整事项表!$G:$G,累计考核费用!$B59,考核调整事项表!$F:$F,累计考核费用!S$55)</f>
        <v>0</v>
      </c>
      <c r="T59" s="305">
        <f t="shared" si="10"/>
        <v>0</v>
      </c>
      <c r="U59" s="302">
        <f>SUMIFS(考核调整事项表!$C:$C,考核调整事项表!$G:$G,累计考核费用!$B59,考核调整事项表!$D:$D,累计考核费用!U$55)+SUMIFS(考核调整事项表!$E:$E,考核调整事项表!$G:$G,累计考核费用!$B59,考核调整事项表!$F:$F,累计考核费用!U$55)</f>
        <v>0</v>
      </c>
      <c r="V59" s="302">
        <f>SUMIFS(考核调整事项表!$C:$C,考核调整事项表!$G:$G,累计考核费用!$B59,考核调整事项表!$D:$D,累计考核费用!V$55)+SUMIFS(考核调整事项表!$E:$E,考核调整事项表!$G:$G,累计考核费用!$B59,考核调整事项表!$F:$F,累计考核费用!V$55)</f>
        <v>0</v>
      </c>
      <c r="W59" s="302">
        <f>SUMIFS(考核调整事项表!$C:$C,考核调整事项表!$G:$G,累计考核费用!$B59,考核调整事项表!$D:$D,累计考核费用!W$55)+SUMIFS(考核调整事项表!$E:$E,考核调整事项表!$G:$G,累计考核费用!$B59,考核调整事项表!$F:$F,累计考核费用!W$55)</f>
        <v>-3584.9</v>
      </c>
      <c r="X59" s="302">
        <f>SUMIFS(考核调整事项表!$C:$C,考核调整事项表!$G:$G,累计考核费用!$B59,考核调整事项表!$D:$D,累计考核费用!X$55)+SUMIFS(考核调整事项表!$E:$E,考核调整事项表!$G:$G,累计考核费用!$B59,考核调整事项表!$F:$F,累计考核费用!X$55)</f>
        <v>0</v>
      </c>
      <c r="Y59" s="302">
        <f>SUMIFS(考核调整事项表!$C:$C,考核调整事项表!$G:$G,累计考核费用!$B59,考核调整事项表!$D:$D,累计考核费用!Y$55)+SUMIFS(考核调整事项表!$E:$E,考核调整事项表!$G:$G,累计考核费用!$B59,考核调整事项表!$F:$F,累计考核费用!Y$55)</f>
        <v>0</v>
      </c>
      <c r="Z59" s="302">
        <f>SUMIFS(考核调整事项表!$C:$C,考核调整事项表!$G:$G,累计考核费用!$B59,考核调整事项表!$D:$D,累计考核费用!Z$55)+SUMIFS(考核调整事项表!$E:$E,考核调整事项表!$G:$G,累计考核费用!$B59,考核调整事项表!$F:$F,累计考核费用!Z$55)</f>
        <v>0</v>
      </c>
      <c r="AA59" s="302">
        <f>SUMIFS(考核调整事项表!$C:$C,考核调整事项表!$G:$G,累计考核费用!$B59,考核调整事项表!$D:$D,累计考核费用!AA$55)+SUMIFS(考核调整事项表!$E:$E,考核调整事项表!$G:$G,累计考核费用!$B59,考核调整事项表!$F:$F,累计考核费用!AA$55)</f>
        <v>3584.9</v>
      </c>
      <c r="AB59" s="302">
        <f>SUMIFS(考核调整事项表!$C:$C,考核调整事项表!$G:$G,累计考核费用!$B59,考核调整事项表!$D:$D,累计考核费用!AB$55)+SUMIFS(考核调整事项表!$E:$E,考核调整事项表!$G:$G,累计考核费用!$B59,考核调整事项表!$F:$F,累计考核费用!AB$55)</f>
        <v>0</v>
      </c>
      <c r="AC59" s="302">
        <f>SUMIFS(考核调整事项表!$C:$C,考核调整事项表!$G:$G,累计考核费用!$B59,考核调整事项表!$D:$D,累计考核费用!AC$55)+SUMIFS(考核调整事项表!$E:$E,考核调整事项表!$G:$G,累计考核费用!$B59,考核调整事项表!$F:$F,累计考核费用!AC$55)</f>
        <v>0</v>
      </c>
    </row>
    <row r="60" spans="1:29">
      <c r="A60" s="10"/>
      <c r="B60" s="57" t="s">
        <v>96</v>
      </c>
      <c r="C60" s="11">
        <f t="shared" si="7"/>
        <v>0</v>
      </c>
      <c r="D60" s="302">
        <f>SUMIFS(考核调整事项表!$C:$C,考核调整事项表!$G:$G,累计考核费用!$B60,考核调整事项表!$D:$D,累计考核费用!D$55)+SUMIFS(考核调整事项表!$E:$E,考核调整事项表!$G:$G,累计考核费用!$B60,考核调整事项表!$F:$F,累计考核费用!D$55)</f>
        <v>0</v>
      </c>
      <c r="E60" s="302">
        <f>SUMIFS(考核调整事项表!$C:$C,考核调整事项表!$G:$G,累计考核费用!$B60,考核调整事项表!$D:$D,累计考核费用!E$55)+SUMIFS(考核调整事项表!$E:$E,考核调整事项表!$G:$G,累计考核费用!$B60,考核调整事项表!$F:$F,累计考核费用!E$55)+H60+S60+AB60+AC60</f>
        <v>0</v>
      </c>
      <c r="F60" s="302">
        <f>SUMIFS(考核调整事项表!$C:$C,考核调整事项表!$G:$G,累计考核费用!$B60,考核调整事项表!$D:$D,累计考核费用!F$55)+SUMIFS(考核调整事项表!$E:$E,考核调整事项表!$G:$G,累计考核费用!$B60,考核调整事项表!$F:$F,累计考核费用!F$55)</f>
        <v>0</v>
      </c>
      <c r="G60" s="302">
        <f t="shared" si="8"/>
        <v>0</v>
      </c>
      <c r="H60" s="302">
        <f>SUMIFS(考核调整事项表!$C:$C,考核调整事项表!$G:$G,累计考核费用!$B60,考核调整事项表!$D:$D,累计考核费用!H$55)+SUMIFS(考核调整事项表!$E:$E,考核调整事项表!$G:$G,累计考核费用!$B60,考核调整事项表!$F:$F,累计考核费用!H$55)</f>
        <v>0</v>
      </c>
      <c r="I60" s="302">
        <f>SUMIFS(考核调整事项表!$C:$C,考核调整事项表!$G:$G,累计考核费用!$B60,考核调整事项表!$D:$D,累计考核费用!I$55)+SUMIFS(考核调整事项表!$E:$E,考核调整事项表!$G:$G,累计考核费用!$B60,考核调整事项表!$F:$F,累计考核费用!I$55)</f>
        <v>0</v>
      </c>
      <c r="J60" s="302">
        <f>SUMIFS(考核调整事项表!$C:$C,考核调整事项表!$G:$G,累计考核费用!$B60,考核调整事项表!$D:$D,累计考核费用!J$55)+SUMIFS(考核调整事项表!$E:$E,考核调整事项表!$G:$G,累计考核费用!$B60,考核调整事项表!$F:$F,累计考核费用!J$55)</f>
        <v>0</v>
      </c>
      <c r="K60" s="302">
        <f>SUMIFS(考核调整事项表!$C:$C,考核调整事项表!$G:$G,累计考核费用!$B60,考核调整事项表!$D:$D,累计考核费用!K$55)+SUMIFS(考核调整事项表!$E:$E,考核调整事项表!$G:$G,累计考核费用!$B60,考核调整事项表!$F:$F,累计考核费用!K$55)</f>
        <v>0</v>
      </c>
      <c r="L60" s="302">
        <f t="shared" si="9"/>
        <v>0</v>
      </c>
      <c r="M60" s="302">
        <f>SUMIFS(考核调整事项表!$C:$C,考核调整事项表!$G:$G,累计考核费用!$B60,考核调整事项表!$D:$D,累计考核费用!M$55)+SUMIFS(考核调整事项表!$E:$E,考核调整事项表!$G:$G,累计考核费用!$B60,考核调整事项表!$F:$F,累计考核费用!M$55)</f>
        <v>0</v>
      </c>
      <c r="N60" s="302">
        <f>SUMIFS(考核调整事项表!$C:$C,考核调整事项表!$G:$G,累计考核费用!$B60,考核调整事项表!$D:$D,累计考核费用!N$55)+SUMIFS(考核调整事项表!$E:$E,考核调整事项表!$G:$G,累计考核费用!$B60,考核调整事项表!$F:$F,累计考核费用!N$55)</f>
        <v>0</v>
      </c>
      <c r="O60" s="302">
        <f>SUMIFS(考核调整事项表!$C:$C,考核调整事项表!$G:$G,累计考核费用!$B60,考核调整事项表!$D:$D,累计考核费用!O$55)+SUMIFS(考核调整事项表!$E:$E,考核调整事项表!$G:$G,累计考核费用!$B60,考核调整事项表!$F:$F,累计考核费用!O$55)</f>
        <v>0</v>
      </c>
      <c r="P60" s="302">
        <f>SUMIFS(考核调整事项表!$C:$C,考核调整事项表!$G:$G,累计考核费用!$B60,考核调整事项表!$D:$D,累计考核费用!P$55)+SUMIFS(考核调整事项表!$E:$E,考核调整事项表!$G:$G,累计考核费用!$B60,考核调整事项表!$F:$F,累计考核费用!P$55)</f>
        <v>0</v>
      </c>
      <c r="Q60" s="302">
        <f>SUMIFS(考核调整事项表!$C:$C,考核调整事项表!$G:$G,累计考核费用!$B60,考核调整事项表!$D:$D,累计考核费用!Q$55)+SUMIFS(考核调整事项表!$E:$E,考核调整事项表!$G:$G,累计考核费用!$B60,考核调整事项表!$F:$F,累计考核费用!Q$55)</f>
        <v>0</v>
      </c>
      <c r="R60" s="302">
        <f>SUMIFS(考核调整事项表!$C:$C,考核调整事项表!$G:$G,累计考核费用!$B60,考核调整事项表!$D:$D,累计考核费用!R$55)+SUMIFS(考核调整事项表!$E:$E,考核调整事项表!$G:$G,累计考核费用!$B60,考核调整事项表!$F:$F,累计考核费用!R$55)</f>
        <v>0</v>
      </c>
      <c r="S60" s="302">
        <f>SUMIFS(考核调整事项表!$C:$C,考核调整事项表!$G:$G,累计考核费用!$B60,考核调整事项表!$D:$D,累计考核费用!S$55)+SUMIFS(考核调整事项表!$E:$E,考核调整事项表!$G:$G,累计考核费用!$B60,考核调整事项表!$F:$F,累计考核费用!S$55)</f>
        <v>0</v>
      </c>
      <c r="T60" s="305">
        <f t="shared" si="10"/>
        <v>0</v>
      </c>
      <c r="U60" s="302">
        <f>SUMIFS(考核调整事项表!$C:$C,考核调整事项表!$G:$G,累计考核费用!$B60,考核调整事项表!$D:$D,累计考核费用!U$55)+SUMIFS(考核调整事项表!$E:$E,考核调整事项表!$G:$G,累计考核费用!$B60,考核调整事项表!$F:$F,累计考核费用!U$55)</f>
        <v>-53832.62</v>
      </c>
      <c r="V60" s="302">
        <f>SUMIFS(考核调整事项表!$C:$C,考核调整事项表!$G:$G,累计考核费用!$B60,考核调整事项表!$D:$D,累计考核费用!V$55)+SUMIFS(考核调整事项表!$E:$E,考核调整事项表!$G:$G,累计考核费用!$B60,考核调整事项表!$F:$F,累计考核费用!V$55)</f>
        <v>0</v>
      </c>
      <c r="W60" s="302">
        <f>SUMIFS(考核调整事项表!$C:$C,考核调整事项表!$G:$G,累计考核费用!$B60,考核调整事项表!$D:$D,累计考核费用!W$55)+SUMIFS(考核调整事项表!$E:$E,考核调整事项表!$G:$G,累计考核费用!$B60,考核调整事项表!$F:$F,累计考核费用!W$55)</f>
        <v>-149565.55</v>
      </c>
      <c r="X60" s="302">
        <f>SUMIFS(考核调整事项表!$C:$C,考核调整事项表!$G:$G,累计考核费用!$B60,考核调整事项表!$D:$D,累计考核费用!X$55)+SUMIFS(考核调整事项表!$E:$E,考核调整事项表!$G:$G,累计考核费用!$B60,考核调整事项表!$F:$F,累计考核费用!X$55)</f>
        <v>53832.62</v>
      </c>
      <c r="Y60" s="302">
        <f>SUMIFS(考核调整事项表!$C:$C,考核调整事项表!$G:$G,累计考核费用!$B60,考核调整事项表!$D:$D,累计考核费用!Y$55)+SUMIFS(考核调整事项表!$E:$E,考核调整事项表!$G:$G,累计考核费用!$B60,考核调整事项表!$F:$F,累计考核费用!Y$55)</f>
        <v>0</v>
      </c>
      <c r="Z60" s="302">
        <f>SUMIFS(考核调整事项表!$C:$C,考核调整事项表!$G:$G,累计考核费用!$B60,考核调整事项表!$D:$D,累计考核费用!Z$55)+SUMIFS(考核调整事项表!$E:$E,考核调整事项表!$G:$G,累计考核费用!$B60,考核调整事项表!$F:$F,累计考核费用!Z$55)</f>
        <v>0</v>
      </c>
      <c r="AA60" s="302">
        <f>SUMIFS(考核调整事项表!$C:$C,考核调整事项表!$G:$G,累计考核费用!$B60,考核调整事项表!$D:$D,累计考核费用!AA$55)+SUMIFS(考核调整事项表!$E:$E,考核调整事项表!$G:$G,累计考核费用!$B60,考核调整事项表!$F:$F,累计考核费用!AA$55)</f>
        <v>149565.55</v>
      </c>
      <c r="AB60" s="302">
        <f>SUMIFS(考核调整事项表!$C:$C,考核调整事项表!$G:$G,累计考核费用!$B60,考核调整事项表!$D:$D,累计考核费用!AB$55)+SUMIFS(考核调整事项表!$E:$E,考核调整事项表!$G:$G,累计考核费用!$B60,考核调整事项表!$F:$F,累计考核费用!AB$55)</f>
        <v>0</v>
      </c>
      <c r="AC60" s="302">
        <f>SUMIFS(考核调整事项表!$C:$C,考核调整事项表!$G:$G,累计考核费用!$B60,考核调整事项表!$D:$D,累计考核费用!AC$55)+SUMIFS(考核调整事项表!$E:$E,考核调整事项表!$G:$G,累计考核费用!$B60,考核调整事项表!$F:$F,累计考核费用!AC$55)</f>
        <v>0</v>
      </c>
    </row>
    <row r="61" spans="1:29">
      <c r="A61" s="10"/>
      <c r="B61" s="57" t="s">
        <v>97</v>
      </c>
      <c r="C61" s="11">
        <f t="shared" si="7"/>
        <v>0</v>
      </c>
      <c r="D61" s="302">
        <f>SUMIFS(考核调整事项表!$C:$C,考核调整事项表!$G:$G,累计考核费用!$B61,考核调整事项表!$D:$D,累计考核费用!D$55)+SUMIFS(考核调整事项表!$E:$E,考核调整事项表!$G:$G,累计考核费用!$B61,考核调整事项表!$F:$F,累计考核费用!D$55)</f>
        <v>0</v>
      </c>
      <c r="E61" s="302">
        <f>SUMIFS(考核调整事项表!$C:$C,考核调整事项表!$G:$G,累计考核费用!$B61,考核调整事项表!$D:$D,累计考核费用!E$55)+SUMIFS(考核调整事项表!$E:$E,考核调整事项表!$G:$G,累计考核费用!$B61,考核调整事项表!$F:$F,累计考核费用!E$55)+H61+S61+AB61+AC61</f>
        <v>0</v>
      </c>
      <c r="F61" s="302">
        <f>SUMIFS(考核调整事项表!$C:$C,考核调整事项表!$G:$G,累计考核费用!$B61,考核调整事项表!$D:$D,累计考核费用!F$55)+SUMIFS(考核调整事项表!$E:$E,考核调整事项表!$G:$G,累计考核费用!$B61,考核调整事项表!$F:$F,累计考核费用!F$55)</f>
        <v>0</v>
      </c>
      <c r="G61" s="302">
        <f t="shared" si="8"/>
        <v>0</v>
      </c>
      <c r="H61" s="302">
        <f>SUMIFS(考核调整事项表!$C:$C,考核调整事项表!$G:$G,累计考核费用!$B61,考核调整事项表!$D:$D,累计考核费用!H$55)+SUMIFS(考核调整事项表!$E:$E,考核调整事项表!$G:$G,累计考核费用!$B61,考核调整事项表!$F:$F,累计考核费用!H$55)</f>
        <v>0</v>
      </c>
      <c r="I61" s="302">
        <f>SUMIFS(考核调整事项表!$C:$C,考核调整事项表!$G:$G,累计考核费用!$B61,考核调整事项表!$D:$D,累计考核费用!I$55)+SUMIFS(考核调整事项表!$E:$E,考核调整事项表!$G:$G,累计考核费用!$B61,考核调整事项表!$F:$F,累计考核费用!I$55)</f>
        <v>0</v>
      </c>
      <c r="J61" s="302">
        <f>SUMIFS(考核调整事项表!$C:$C,考核调整事项表!$G:$G,累计考核费用!$B61,考核调整事项表!$D:$D,累计考核费用!J$55)+SUMIFS(考核调整事项表!$E:$E,考核调整事项表!$G:$G,累计考核费用!$B61,考核调整事项表!$F:$F,累计考核费用!J$55)</f>
        <v>0</v>
      </c>
      <c r="K61" s="302">
        <f>SUMIFS(考核调整事项表!$C:$C,考核调整事项表!$G:$G,累计考核费用!$B61,考核调整事项表!$D:$D,累计考核费用!K$55)+SUMIFS(考核调整事项表!$E:$E,考核调整事项表!$G:$G,累计考核费用!$B61,考核调整事项表!$F:$F,累计考核费用!K$55)</f>
        <v>0</v>
      </c>
      <c r="L61" s="302">
        <f t="shared" si="9"/>
        <v>0</v>
      </c>
      <c r="M61" s="302">
        <f>SUMIFS(考核调整事项表!$C:$C,考核调整事项表!$G:$G,累计考核费用!$B61,考核调整事项表!$D:$D,累计考核费用!M$55)+SUMIFS(考核调整事项表!$E:$E,考核调整事项表!$G:$G,累计考核费用!$B61,考核调整事项表!$F:$F,累计考核费用!M$55)</f>
        <v>0</v>
      </c>
      <c r="N61" s="302">
        <f>SUMIFS(考核调整事项表!$C:$C,考核调整事项表!$G:$G,累计考核费用!$B61,考核调整事项表!$D:$D,累计考核费用!N$55)+SUMIFS(考核调整事项表!$E:$E,考核调整事项表!$G:$G,累计考核费用!$B61,考核调整事项表!$F:$F,累计考核费用!N$55)</f>
        <v>0</v>
      </c>
      <c r="O61" s="302">
        <f>SUMIFS(考核调整事项表!$C:$C,考核调整事项表!$G:$G,累计考核费用!$B61,考核调整事项表!$D:$D,累计考核费用!O$55)+SUMIFS(考核调整事项表!$E:$E,考核调整事项表!$G:$G,累计考核费用!$B61,考核调整事项表!$F:$F,累计考核费用!O$55)</f>
        <v>0</v>
      </c>
      <c r="P61" s="302">
        <f>SUMIFS(考核调整事项表!$C:$C,考核调整事项表!$G:$G,累计考核费用!$B61,考核调整事项表!$D:$D,累计考核费用!P$55)+SUMIFS(考核调整事项表!$E:$E,考核调整事项表!$G:$G,累计考核费用!$B61,考核调整事项表!$F:$F,累计考核费用!P$55)</f>
        <v>0</v>
      </c>
      <c r="Q61" s="302">
        <f>SUMIFS(考核调整事项表!$C:$C,考核调整事项表!$G:$G,累计考核费用!$B61,考核调整事项表!$D:$D,累计考核费用!Q$55)+SUMIFS(考核调整事项表!$E:$E,考核调整事项表!$G:$G,累计考核费用!$B61,考核调整事项表!$F:$F,累计考核费用!Q$55)</f>
        <v>0</v>
      </c>
      <c r="R61" s="302">
        <f>SUMIFS(考核调整事项表!$C:$C,考核调整事项表!$G:$G,累计考核费用!$B61,考核调整事项表!$D:$D,累计考核费用!R$55)+SUMIFS(考核调整事项表!$E:$E,考核调整事项表!$G:$G,累计考核费用!$B61,考核调整事项表!$F:$F,累计考核费用!R$55)</f>
        <v>0</v>
      </c>
      <c r="S61" s="302">
        <f>SUMIFS(考核调整事项表!$C:$C,考核调整事项表!$G:$G,累计考核费用!$B61,考核调整事项表!$D:$D,累计考核费用!S$55)+SUMIFS(考核调整事项表!$E:$E,考核调整事项表!$G:$G,累计考核费用!$B61,考核调整事项表!$F:$F,累计考核费用!S$55)</f>
        <v>0</v>
      </c>
      <c r="T61" s="305">
        <f t="shared" si="10"/>
        <v>0</v>
      </c>
      <c r="U61" s="302">
        <f>SUMIFS(考核调整事项表!$C:$C,考核调整事项表!$G:$G,累计考核费用!$B61,考核调整事项表!$D:$D,累计考核费用!U$55)+SUMIFS(考核调整事项表!$E:$E,考核调整事项表!$G:$G,累计考核费用!$B61,考核调整事项表!$F:$F,累计考核费用!U$55)</f>
        <v>0</v>
      </c>
      <c r="V61" s="302">
        <f>SUMIFS(考核调整事项表!$C:$C,考核调整事项表!$G:$G,累计考核费用!$B61,考核调整事项表!$D:$D,累计考核费用!V$55)+SUMIFS(考核调整事项表!$E:$E,考核调整事项表!$G:$G,累计考核费用!$B61,考核调整事项表!$F:$F,累计考核费用!V$55)</f>
        <v>0</v>
      </c>
      <c r="W61" s="302">
        <f>SUMIFS(考核调整事项表!$C:$C,考核调整事项表!$G:$G,累计考核费用!$B61,考核调整事项表!$D:$D,累计考核费用!W$55)+SUMIFS(考核调整事项表!$E:$E,考核调整事项表!$G:$G,累计考核费用!$B61,考核调整事项表!$F:$F,累计考核费用!W$55)</f>
        <v>0</v>
      </c>
      <c r="X61" s="302">
        <f>SUMIFS(考核调整事项表!$C:$C,考核调整事项表!$G:$G,累计考核费用!$B61,考核调整事项表!$D:$D,累计考核费用!X$55)+SUMIFS(考核调整事项表!$E:$E,考核调整事项表!$G:$G,累计考核费用!$B61,考核调整事项表!$F:$F,累计考核费用!X$55)</f>
        <v>0</v>
      </c>
      <c r="Y61" s="302">
        <f>SUMIFS(考核调整事项表!$C:$C,考核调整事项表!$G:$G,累计考核费用!$B61,考核调整事项表!$D:$D,累计考核费用!Y$55)+SUMIFS(考核调整事项表!$E:$E,考核调整事项表!$G:$G,累计考核费用!$B61,考核调整事项表!$F:$F,累计考核费用!Y$55)</f>
        <v>0</v>
      </c>
      <c r="Z61" s="302">
        <f>SUMIFS(考核调整事项表!$C:$C,考核调整事项表!$G:$G,累计考核费用!$B61,考核调整事项表!$D:$D,累计考核费用!Z$55)+SUMIFS(考核调整事项表!$E:$E,考核调整事项表!$G:$G,累计考核费用!$B61,考核调整事项表!$F:$F,累计考核费用!Z$55)</f>
        <v>0</v>
      </c>
      <c r="AA61" s="302">
        <f>SUMIFS(考核调整事项表!$C:$C,考核调整事项表!$G:$G,累计考核费用!$B61,考核调整事项表!$D:$D,累计考核费用!AA$55)+SUMIFS(考核调整事项表!$E:$E,考核调整事项表!$G:$G,累计考核费用!$B61,考核调整事项表!$F:$F,累计考核费用!AA$55)</f>
        <v>0</v>
      </c>
      <c r="AB61" s="302">
        <f>SUMIFS(考核调整事项表!$C:$C,考核调整事项表!$G:$G,累计考核费用!$B61,考核调整事项表!$D:$D,累计考核费用!AB$55)+SUMIFS(考核调整事项表!$E:$E,考核调整事项表!$G:$G,累计考核费用!$B61,考核调整事项表!$F:$F,累计考核费用!AB$55)</f>
        <v>0</v>
      </c>
      <c r="AC61" s="302">
        <f>SUMIFS(考核调整事项表!$C:$C,考核调整事项表!$G:$G,累计考核费用!$B61,考核调整事项表!$D:$D,累计考核费用!AC$55)+SUMIFS(考核调整事项表!$E:$E,考核调整事项表!$G:$G,累计考核费用!$B61,考核调整事项表!$F:$F,累计考核费用!AC$55)</f>
        <v>0</v>
      </c>
    </row>
    <row r="62" spans="1:29">
      <c r="A62" s="10"/>
      <c r="B62" s="57" t="s">
        <v>98</v>
      </c>
      <c r="C62" s="11">
        <f t="shared" si="7"/>
        <v>0</v>
      </c>
      <c r="D62" s="302">
        <f>SUMIFS(考核调整事项表!$C:$C,考核调整事项表!$G:$G,累计考核费用!$B62,考核调整事项表!$D:$D,累计考核费用!D$55)+SUMIFS(考核调整事项表!$E:$E,考核调整事项表!$G:$G,累计考核费用!$B62,考核调整事项表!$F:$F,累计考核费用!D$55)</f>
        <v>0</v>
      </c>
      <c r="E62" s="302">
        <f>SUMIFS(考核调整事项表!$C:$C,考核调整事项表!$G:$G,累计考核费用!$B62,考核调整事项表!$D:$D,累计考核费用!E$55)+SUMIFS(考核调整事项表!$E:$E,考核调整事项表!$G:$G,累计考核费用!$B62,考核调整事项表!$F:$F,累计考核费用!E$55)+H62+S62+AB62+AC62</f>
        <v>0</v>
      </c>
      <c r="F62" s="302">
        <f>SUMIFS(考核调整事项表!$C:$C,考核调整事项表!$G:$G,累计考核费用!$B62,考核调整事项表!$D:$D,累计考核费用!F$55)+SUMIFS(考核调整事项表!$E:$E,考核调整事项表!$G:$G,累计考核费用!$B62,考核调整事项表!$F:$F,累计考核费用!F$55)</f>
        <v>0</v>
      </c>
      <c r="G62" s="302">
        <f t="shared" si="8"/>
        <v>0</v>
      </c>
      <c r="H62" s="302">
        <f>SUMIFS(考核调整事项表!$C:$C,考核调整事项表!$G:$G,累计考核费用!$B62,考核调整事项表!$D:$D,累计考核费用!H$55)+SUMIFS(考核调整事项表!$E:$E,考核调整事项表!$G:$G,累计考核费用!$B62,考核调整事项表!$F:$F,累计考核费用!H$55)</f>
        <v>0</v>
      </c>
      <c r="I62" s="302">
        <f>SUMIFS(考核调整事项表!$C:$C,考核调整事项表!$G:$G,累计考核费用!$B62,考核调整事项表!$D:$D,累计考核费用!I$55)+SUMIFS(考核调整事项表!$E:$E,考核调整事项表!$G:$G,累计考核费用!$B62,考核调整事项表!$F:$F,累计考核费用!I$55)</f>
        <v>0</v>
      </c>
      <c r="J62" s="302">
        <f>SUMIFS(考核调整事项表!$C:$C,考核调整事项表!$G:$G,累计考核费用!$B62,考核调整事项表!$D:$D,累计考核费用!J$55)+SUMIFS(考核调整事项表!$E:$E,考核调整事项表!$G:$G,累计考核费用!$B62,考核调整事项表!$F:$F,累计考核费用!J$55)</f>
        <v>0</v>
      </c>
      <c r="K62" s="302">
        <f>SUMIFS(考核调整事项表!$C:$C,考核调整事项表!$G:$G,累计考核费用!$B62,考核调整事项表!$D:$D,累计考核费用!K$55)+SUMIFS(考核调整事项表!$E:$E,考核调整事项表!$G:$G,累计考核费用!$B62,考核调整事项表!$F:$F,累计考核费用!K$55)</f>
        <v>0</v>
      </c>
      <c r="L62" s="302">
        <f t="shared" si="9"/>
        <v>0</v>
      </c>
      <c r="M62" s="302">
        <f>SUMIFS(考核调整事项表!$C:$C,考核调整事项表!$G:$G,累计考核费用!$B62,考核调整事项表!$D:$D,累计考核费用!M$55)+SUMIFS(考核调整事项表!$E:$E,考核调整事项表!$G:$G,累计考核费用!$B62,考核调整事项表!$F:$F,累计考核费用!M$55)</f>
        <v>0</v>
      </c>
      <c r="N62" s="302">
        <f>SUMIFS(考核调整事项表!$C:$C,考核调整事项表!$G:$G,累计考核费用!$B62,考核调整事项表!$D:$D,累计考核费用!N$55)+SUMIFS(考核调整事项表!$E:$E,考核调整事项表!$G:$G,累计考核费用!$B62,考核调整事项表!$F:$F,累计考核费用!N$55)</f>
        <v>0</v>
      </c>
      <c r="O62" s="302">
        <f>SUMIFS(考核调整事项表!$C:$C,考核调整事项表!$G:$G,累计考核费用!$B62,考核调整事项表!$D:$D,累计考核费用!O$55)+SUMIFS(考核调整事项表!$E:$E,考核调整事项表!$G:$G,累计考核费用!$B62,考核调整事项表!$F:$F,累计考核费用!O$55)</f>
        <v>0</v>
      </c>
      <c r="P62" s="302">
        <f>SUMIFS(考核调整事项表!$C:$C,考核调整事项表!$G:$G,累计考核费用!$B62,考核调整事项表!$D:$D,累计考核费用!P$55)+SUMIFS(考核调整事项表!$E:$E,考核调整事项表!$G:$G,累计考核费用!$B62,考核调整事项表!$F:$F,累计考核费用!P$55)</f>
        <v>0</v>
      </c>
      <c r="Q62" s="302">
        <f>SUMIFS(考核调整事项表!$C:$C,考核调整事项表!$G:$G,累计考核费用!$B62,考核调整事项表!$D:$D,累计考核费用!Q$55)+SUMIFS(考核调整事项表!$E:$E,考核调整事项表!$G:$G,累计考核费用!$B62,考核调整事项表!$F:$F,累计考核费用!Q$55)</f>
        <v>0</v>
      </c>
      <c r="R62" s="302">
        <f>SUMIFS(考核调整事项表!$C:$C,考核调整事项表!$G:$G,累计考核费用!$B62,考核调整事项表!$D:$D,累计考核费用!R$55)+SUMIFS(考核调整事项表!$E:$E,考核调整事项表!$G:$G,累计考核费用!$B62,考核调整事项表!$F:$F,累计考核费用!R$55)</f>
        <v>0</v>
      </c>
      <c r="S62" s="302">
        <f>SUMIFS(考核调整事项表!$C:$C,考核调整事项表!$G:$G,累计考核费用!$B62,考核调整事项表!$D:$D,累计考核费用!S$55)+SUMIFS(考核调整事项表!$E:$E,考核调整事项表!$G:$G,累计考核费用!$B62,考核调整事项表!$F:$F,累计考核费用!S$55)</f>
        <v>0</v>
      </c>
      <c r="T62" s="305">
        <f t="shared" si="10"/>
        <v>0</v>
      </c>
      <c r="U62" s="302">
        <f>SUMIFS(考核调整事项表!$C:$C,考核调整事项表!$G:$G,累计考核费用!$B62,考核调整事项表!$D:$D,累计考核费用!U$55)+SUMIFS(考核调整事项表!$E:$E,考核调整事项表!$G:$G,累计考核费用!$B62,考核调整事项表!$F:$F,累计考核费用!U$55)</f>
        <v>0</v>
      </c>
      <c r="V62" s="302">
        <f>SUMIFS(考核调整事项表!$C:$C,考核调整事项表!$G:$G,累计考核费用!$B62,考核调整事项表!$D:$D,累计考核费用!V$55)+SUMIFS(考核调整事项表!$E:$E,考核调整事项表!$G:$G,累计考核费用!$B62,考核调整事项表!$F:$F,累计考核费用!V$55)</f>
        <v>0</v>
      </c>
      <c r="W62" s="302">
        <f>SUMIFS(考核调整事项表!$C:$C,考核调整事项表!$G:$G,累计考核费用!$B62,考核调整事项表!$D:$D,累计考核费用!W$55)+SUMIFS(考核调整事项表!$E:$E,考核调整事项表!$G:$G,累计考核费用!$B62,考核调整事项表!$F:$F,累计考核费用!W$55)</f>
        <v>0</v>
      </c>
      <c r="X62" s="302">
        <f>SUMIFS(考核调整事项表!$C:$C,考核调整事项表!$G:$G,累计考核费用!$B62,考核调整事项表!$D:$D,累计考核费用!X$55)+SUMIFS(考核调整事项表!$E:$E,考核调整事项表!$G:$G,累计考核费用!$B62,考核调整事项表!$F:$F,累计考核费用!X$55)</f>
        <v>0</v>
      </c>
      <c r="Y62" s="302">
        <f>SUMIFS(考核调整事项表!$C:$C,考核调整事项表!$G:$G,累计考核费用!$B62,考核调整事项表!$D:$D,累计考核费用!Y$55)+SUMIFS(考核调整事项表!$E:$E,考核调整事项表!$G:$G,累计考核费用!$B62,考核调整事项表!$F:$F,累计考核费用!Y$55)</f>
        <v>0</v>
      </c>
      <c r="Z62" s="302">
        <f>SUMIFS(考核调整事项表!$C:$C,考核调整事项表!$G:$G,累计考核费用!$B62,考核调整事项表!$D:$D,累计考核费用!Z$55)+SUMIFS(考核调整事项表!$E:$E,考核调整事项表!$G:$G,累计考核费用!$B62,考核调整事项表!$F:$F,累计考核费用!Z$55)</f>
        <v>0</v>
      </c>
      <c r="AA62" s="302">
        <f>SUMIFS(考核调整事项表!$C:$C,考核调整事项表!$G:$G,累计考核费用!$B62,考核调整事项表!$D:$D,累计考核费用!AA$55)+SUMIFS(考核调整事项表!$E:$E,考核调整事项表!$G:$G,累计考核费用!$B62,考核调整事项表!$F:$F,累计考核费用!AA$55)</f>
        <v>0</v>
      </c>
      <c r="AB62" s="302">
        <f>SUMIFS(考核调整事项表!$C:$C,考核调整事项表!$G:$G,累计考核费用!$B62,考核调整事项表!$D:$D,累计考核费用!AB$55)+SUMIFS(考核调整事项表!$E:$E,考核调整事项表!$G:$G,累计考核费用!$B62,考核调整事项表!$F:$F,累计考核费用!AB$55)</f>
        <v>0</v>
      </c>
      <c r="AC62" s="302">
        <f>SUMIFS(考核调整事项表!$C:$C,考核调整事项表!$G:$G,累计考核费用!$B62,考核调整事项表!$D:$D,累计考核费用!AC$55)+SUMIFS(考核调整事项表!$E:$E,考核调整事项表!$G:$G,累计考核费用!$B62,考核调整事项表!$F:$F,累计考核费用!AC$55)</f>
        <v>0</v>
      </c>
    </row>
    <row r="63" spans="1:29">
      <c r="A63" s="10"/>
      <c r="B63" s="57" t="s">
        <v>99</v>
      </c>
      <c r="C63" s="11">
        <f t="shared" si="7"/>
        <v>0</v>
      </c>
      <c r="D63" s="302">
        <f>SUMIFS(考核调整事项表!$C:$C,考核调整事项表!$G:$G,累计考核费用!$B63,考核调整事项表!$D:$D,累计考核费用!D$55)+SUMIFS(考核调整事项表!$E:$E,考核调整事项表!$G:$G,累计考核费用!$B63,考核调整事项表!$F:$F,累计考核费用!D$55)</f>
        <v>0</v>
      </c>
      <c r="E63" s="302">
        <f>SUMIFS(考核调整事项表!$C:$C,考核调整事项表!$G:$G,累计考核费用!$B63,考核调整事项表!$D:$D,累计考核费用!E$55)+SUMIFS(考核调整事项表!$E:$E,考核调整事项表!$G:$G,累计考核费用!$B63,考核调整事项表!$F:$F,累计考核费用!E$55)+H63+S63+AB63+AC63</f>
        <v>0</v>
      </c>
      <c r="F63" s="302">
        <f>SUMIFS(考核调整事项表!$C:$C,考核调整事项表!$G:$G,累计考核费用!$B63,考核调整事项表!$D:$D,累计考核费用!F$55)+SUMIFS(考核调整事项表!$E:$E,考核调整事项表!$G:$G,累计考核费用!$B63,考核调整事项表!$F:$F,累计考核费用!F$55)</f>
        <v>0</v>
      </c>
      <c r="G63" s="302">
        <f t="shared" si="8"/>
        <v>0</v>
      </c>
      <c r="H63" s="302">
        <f>SUMIFS(考核调整事项表!$C:$C,考核调整事项表!$G:$G,累计考核费用!$B63,考核调整事项表!$D:$D,累计考核费用!H$55)+SUMIFS(考核调整事项表!$E:$E,考核调整事项表!$G:$G,累计考核费用!$B63,考核调整事项表!$F:$F,累计考核费用!H$55)</f>
        <v>0</v>
      </c>
      <c r="I63" s="302">
        <f>SUMIFS(考核调整事项表!$C:$C,考核调整事项表!$G:$G,累计考核费用!$B63,考核调整事项表!$D:$D,累计考核费用!I$55)+SUMIFS(考核调整事项表!$E:$E,考核调整事项表!$G:$G,累计考核费用!$B63,考核调整事项表!$F:$F,累计考核费用!I$55)</f>
        <v>0</v>
      </c>
      <c r="J63" s="302">
        <f>SUMIFS(考核调整事项表!$C:$C,考核调整事项表!$G:$G,累计考核费用!$B63,考核调整事项表!$D:$D,累计考核费用!J$55)+SUMIFS(考核调整事项表!$E:$E,考核调整事项表!$G:$G,累计考核费用!$B63,考核调整事项表!$F:$F,累计考核费用!J$55)</f>
        <v>0</v>
      </c>
      <c r="K63" s="302">
        <f>SUMIFS(考核调整事项表!$C:$C,考核调整事项表!$G:$G,累计考核费用!$B63,考核调整事项表!$D:$D,累计考核费用!K$55)+SUMIFS(考核调整事项表!$E:$E,考核调整事项表!$G:$G,累计考核费用!$B63,考核调整事项表!$F:$F,累计考核费用!K$55)</f>
        <v>0</v>
      </c>
      <c r="L63" s="302">
        <f t="shared" si="9"/>
        <v>0</v>
      </c>
      <c r="M63" s="302">
        <f>SUMIFS(考核调整事项表!$C:$C,考核调整事项表!$G:$G,累计考核费用!$B63,考核调整事项表!$D:$D,累计考核费用!M$55)+SUMIFS(考核调整事项表!$E:$E,考核调整事项表!$G:$G,累计考核费用!$B63,考核调整事项表!$F:$F,累计考核费用!M$55)</f>
        <v>0</v>
      </c>
      <c r="N63" s="302">
        <f>SUMIFS(考核调整事项表!$C:$C,考核调整事项表!$G:$G,累计考核费用!$B63,考核调整事项表!$D:$D,累计考核费用!N$55)+SUMIFS(考核调整事项表!$E:$E,考核调整事项表!$G:$G,累计考核费用!$B63,考核调整事项表!$F:$F,累计考核费用!N$55)</f>
        <v>0</v>
      </c>
      <c r="O63" s="302">
        <f>SUMIFS(考核调整事项表!$C:$C,考核调整事项表!$G:$G,累计考核费用!$B63,考核调整事项表!$D:$D,累计考核费用!O$55)+SUMIFS(考核调整事项表!$E:$E,考核调整事项表!$G:$G,累计考核费用!$B63,考核调整事项表!$F:$F,累计考核费用!O$55)</f>
        <v>0</v>
      </c>
      <c r="P63" s="302">
        <f>SUMIFS(考核调整事项表!$C:$C,考核调整事项表!$G:$G,累计考核费用!$B63,考核调整事项表!$D:$D,累计考核费用!P$55)+SUMIFS(考核调整事项表!$E:$E,考核调整事项表!$G:$G,累计考核费用!$B63,考核调整事项表!$F:$F,累计考核费用!P$55)</f>
        <v>0</v>
      </c>
      <c r="Q63" s="302">
        <f>SUMIFS(考核调整事项表!$C:$C,考核调整事项表!$G:$G,累计考核费用!$B63,考核调整事项表!$D:$D,累计考核费用!Q$55)+SUMIFS(考核调整事项表!$E:$E,考核调整事项表!$G:$G,累计考核费用!$B63,考核调整事项表!$F:$F,累计考核费用!Q$55)</f>
        <v>0</v>
      </c>
      <c r="R63" s="302">
        <f>SUMIFS(考核调整事项表!$C:$C,考核调整事项表!$G:$G,累计考核费用!$B63,考核调整事项表!$D:$D,累计考核费用!R$55)+SUMIFS(考核调整事项表!$E:$E,考核调整事项表!$G:$G,累计考核费用!$B63,考核调整事项表!$F:$F,累计考核费用!R$55)</f>
        <v>0</v>
      </c>
      <c r="S63" s="302">
        <f>SUMIFS(考核调整事项表!$C:$C,考核调整事项表!$G:$G,累计考核费用!$B63,考核调整事项表!$D:$D,累计考核费用!S$55)+SUMIFS(考核调整事项表!$E:$E,考核调整事项表!$G:$G,累计考核费用!$B63,考核调整事项表!$F:$F,累计考核费用!S$55)</f>
        <v>0</v>
      </c>
      <c r="T63" s="305">
        <f t="shared" si="10"/>
        <v>0</v>
      </c>
      <c r="U63" s="302">
        <f>SUMIFS(考核调整事项表!$C:$C,考核调整事项表!$G:$G,累计考核费用!$B63,考核调整事项表!$D:$D,累计考核费用!U$55)+SUMIFS(考核调整事项表!$E:$E,考核调整事项表!$G:$G,累计考核费用!$B63,考核调整事项表!$F:$F,累计考核费用!U$55)</f>
        <v>0</v>
      </c>
      <c r="V63" s="302">
        <f>SUMIFS(考核调整事项表!$C:$C,考核调整事项表!$G:$G,累计考核费用!$B63,考核调整事项表!$D:$D,累计考核费用!V$55)+SUMIFS(考核调整事项表!$E:$E,考核调整事项表!$G:$G,累计考核费用!$B63,考核调整事项表!$F:$F,累计考核费用!V$55)</f>
        <v>0</v>
      </c>
      <c r="W63" s="302">
        <f>SUMIFS(考核调整事项表!$C:$C,考核调整事项表!$G:$G,累计考核费用!$B63,考核调整事项表!$D:$D,累计考核费用!W$55)+SUMIFS(考核调整事项表!$E:$E,考核调整事项表!$G:$G,累计考核费用!$B63,考核调整事项表!$F:$F,累计考核费用!W$55)</f>
        <v>0</v>
      </c>
      <c r="X63" s="302">
        <f>SUMIFS(考核调整事项表!$C:$C,考核调整事项表!$G:$G,累计考核费用!$B63,考核调整事项表!$D:$D,累计考核费用!X$55)+SUMIFS(考核调整事项表!$E:$E,考核调整事项表!$G:$G,累计考核费用!$B63,考核调整事项表!$F:$F,累计考核费用!X$55)</f>
        <v>0</v>
      </c>
      <c r="Y63" s="302">
        <f>SUMIFS(考核调整事项表!$C:$C,考核调整事项表!$G:$G,累计考核费用!$B63,考核调整事项表!$D:$D,累计考核费用!Y$55)+SUMIFS(考核调整事项表!$E:$E,考核调整事项表!$G:$G,累计考核费用!$B63,考核调整事项表!$F:$F,累计考核费用!Y$55)</f>
        <v>0</v>
      </c>
      <c r="Z63" s="302">
        <f>SUMIFS(考核调整事项表!$C:$C,考核调整事项表!$G:$G,累计考核费用!$B63,考核调整事项表!$D:$D,累计考核费用!Z$55)+SUMIFS(考核调整事项表!$E:$E,考核调整事项表!$G:$G,累计考核费用!$B63,考核调整事项表!$F:$F,累计考核费用!Z$55)</f>
        <v>0</v>
      </c>
      <c r="AA63" s="302">
        <f>SUMIFS(考核调整事项表!$C:$C,考核调整事项表!$G:$G,累计考核费用!$B63,考核调整事项表!$D:$D,累计考核费用!AA$55)+SUMIFS(考核调整事项表!$E:$E,考核调整事项表!$G:$G,累计考核费用!$B63,考核调整事项表!$F:$F,累计考核费用!AA$55)</f>
        <v>0</v>
      </c>
      <c r="AB63" s="302">
        <f>SUMIFS(考核调整事项表!$C:$C,考核调整事项表!$G:$G,累计考核费用!$B63,考核调整事项表!$D:$D,累计考核费用!AB$55)+SUMIFS(考核调整事项表!$E:$E,考核调整事项表!$G:$G,累计考核费用!$B63,考核调整事项表!$F:$F,累计考核费用!AB$55)</f>
        <v>0</v>
      </c>
      <c r="AC63" s="302">
        <f>SUMIFS(考核调整事项表!$C:$C,考核调整事项表!$G:$G,累计考核费用!$B63,考核调整事项表!$D:$D,累计考核费用!AC$55)+SUMIFS(考核调整事项表!$E:$E,考核调整事项表!$G:$G,累计考核费用!$B63,考核调整事项表!$F:$F,累计考核费用!AC$55)</f>
        <v>0</v>
      </c>
    </row>
    <row r="64" spans="1:29">
      <c r="A64" s="10"/>
      <c r="B64" s="57" t="s">
        <v>100</v>
      </c>
      <c r="C64" s="11">
        <f t="shared" si="7"/>
        <v>0</v>
      </c>
      <c r="D64" s="302">
        <f>SUMIFS(考核调整事项表!$C:$C,考核调整事项表!$G:$G,累计考核费用!$B64,考核调整事项表!$D:$D,累计考核费用!D$55)+SUMIFS(考核调整事项表!$E:$E,考核调整事项表!$G:$G,累计考核费用!$B64,考核调整事项表!$F:$F,累计考核费用!D$55)</f>
        <v>0</v>
      </c>
      <c r="E64" s="302">
        <f>SUMIFS(考核调整事项表!$C:$C,考核调整事项表!$G:$G,累计考核费用!$B64,考核调整事项表!$D:$D,累计考核费用!E$55)+SUMIFS(考核调整事项表!$E:$E,考核调整事项表!$G:$G,累计考核费用!$B64,考核调整事项表!$F:$F,累计考核费用!E$55)+H64+S64+AB64+AC64</f>
        <v>0</v>
      </c>
      <c r="F64" s="302">
        <f>SUMIFS(考核调整事项表!$C:$C,考核调整事项表!$G:$G,累计考核费用!$B64,考核调整事项表!$D:$D,累计考核费用!F$55)+SUMIFS(考核调整事项表!$E:$E,考核调整事项表!$G:$G,累计考核费用!$B64,考核调整事项表!$F:$F,累计考核费用!F$55)</f>
        <v>0</v>
      </c>
      <c r="G64" s="302">
        <f t="shared" si="8"/>
        <v>0</v>
      </c>
      <c r="H64" s="302">
        <f>SUMIFS(考核调整事项表!$C:$C,考核调整事项表!$G:$G,累计考核费用!$B64,考核调整事项表!$D:$D,累计考核费用!H$55)+SUMIFS(考核调整事项表!$E:$E,考核调整事项表!$G:$G,累计考核费用!$B64,考核调整事项表!$F:$F,累计考核费用!H$55)</f>
        <v>0</v>
      </c>
      <c r="I64" s="302">
        <f>SUMIFS(考核调整事项表!$C:$C,考核调整事项表!$G:$G,累计考核费用!$B64,考核调整事项表!$D:$D,累计考核费用!I$55)+SUMIFS(考核调整事项表!$E:$E,考核调整事项表!$G:$G,累计考核费用!$B64,考核调整事项表!$F:$F,累计考核费用!I$55)</f>
        <v>0</v>
      </c>
      <c r="J64" s="302">
        <f>SUMIFS(考核调整事项表!$C:$C,考核调整事项表!$G:$G,累计考核费用!$B64,考核调整事项表!$D:$D,累计考核费用!J$55)+SUMIFS(考核调整事项表!$E:$E,考核调整事项表!$G:$G,累计考核费用!$B64,考核调整事项表!$F:$F,累计考核费用!J$55)</f>
        <v>0</v>
      </c>
      <c r="K64" s="302">
        <f>SUMIFS(考核调整事项表!$C:$C,考核调整事项表!$G:$G,累计考核费用!$B64,考核调整事项表!$D:$D,累计考核费用!K$55)+SUMIFS(考核调整事项表!$E:$E,考核调整事项表!$G:$G,累计考核费用!$B64,考核调整事项表!$F:$F,累计考核费用!K$55)</f>
        <v>0</v>
      </c>
      <c r="L64" s="302">
        <f t="shared" si="9"/>
        <v>0</v>
      </c>
      <c r="M64" s="302">
        <f>SUMIFS(考核调整事项表!$C:$C,考核调整事项表!$G:$G,累计考核费用!$B64,考核调整事项表!$D:$D,累计考核费用!M$55)+SUMIFS(考核调整事项表!$E:$E,考核调整事项表!$G:$G,累计考核费用!$B64,考核调整事项表!$F:$F,累计考核费用!M$55)</f>
        <v>0</v>
      </c>
      <c r="N64" s="302">
        <f>SUMIFS(考核调整事项表!$C:$C,考核调整事项表!$G:$G,累计考核费用!$B64,考核调整事项表!$D:$D,累计考核费用!N$55)+SUMIFS(考核调整事项表!$E:$E,考核调整事项表!$G:$G,累计考核费用!$B64,考核调整事项表!$F:$F,累计考核费用!N$55)</f>
        <v>0</v>
      </c>
      <c r="O64" s="302">
        <f>SUMIFS(考核调整事项表!$C:$C,考核调整事项表!$G:$G,累计考核费用!$B64,考核调整事项表!$D:$D,累计考核费用!O$55)+SUMIFS(考核调整事项表!$E:$E,考核调整事项表!$G:$G,累计考核费用!$B64,考核调整事项表!$F:$F,累计考核费用!O$55)</f>
        <v>0</v>
      </c>
      <c r="P64" s="302">
        <f>SUMIFS(考核调整事项表!$C:$C,考核调整事项表!$G:$G,累计考核费用!$B64,考核调整事项表!$D:$D,累计考核费用!P$55)+SUMIFS(考核调整事项表!$E:$E,考核调整事项表!$G:$G,累计考核费用!$B64,考核调整事项表!$F:$F,累计考核费用!P$55)</f>
        <v>0</v>
      </c>
      <c r="Q64" s="302">
        <f>SUMIFS(考核调整事项表!$C:$C,考核调整事项表!$G:$G,累计考核费用!$B64,考核调整事项表!$D:$D,累计考核费用!Q$55)+SUMIFS(考核调整事项表!$E:$E,考核调整事项表!$G:$G,累计考核费用!$B64,考核调整事项表!$F:$F,累计考核费用!Q$55)</f>
        <v>0</v>
      </c>
      <c r="R64" s="302">
        <f>SUMIFS(考核调整事项表!$C:$C,考核调整事项表!$G:$G,累计考核费用!$B64,考核调整事项表!$D:$D,累计考核费用!R$55)+SUMIFS(考核调整事项表!$E:$E,考核调整事项表!$G:$G,累计考核费用!$B64,考核调整事项表!$F:$F,累计考核费用!R$55)</f>
        <v>0</v>
      </c>
      <c r="S64" s="302">
        <f>SUMIFS(考核调整事项表!$C:$C,考核调整事项表!$G:$G,累计考核费用!$B64,考核调整事项表!$D:$D,累计考核费用!S$55)+SUMIFS(考核调整事项表!$E:$E,考核调整事项表!$G:$G,累计考核费用!$B64,考核调整事项表!$F:$F,累计考核费用!S$55)</f>
        <v>0</v>
      </c>
      <c r="T64" s="305">
        <f t="shared" si="10"/>
        <v>0</v>
      </c>
      <c r="U64" s="302">
        <f>SUMIFS(考核调整事项表!$C:$C,考核调整事项表!$G:$G,累计考核费用!$B64,考核调整事项表!$D:$D,累计考核费用!U$55)+SUMIFS(考核调整事项表!$E:$E,考核调整事项表!$G:$G,累计考核费用!$B64,考核调整事项表!$F:$F,累计考核费用!U$55)</f>
        <v>0</v>
      </c>
      <c r="V64" s="302">
        <f>SUMIFS(考核调整事项表!$C:$C,考核调整事项表!$G:$G,累计考核费用!$B64,考核调整事项表!$D:$D,累计考核费用!V$55)+SUMIFS(考核调整事项表!$E:$E,考核调整事项表!$G:$G,累计考核费用!$B64,考核调整事项表!$F:$F,累计考核费用!V$55)</f>
        <v>0</v>
      </c>
      <c r="W64" s="302">
        <f>SUMIFS(考核调整事项表!$C:$C,考核调整事项表!$G:$G,累计考核费用!$B64,考核调整事项表!$D:$D,累计考核费用!W$55)+SUMIFS(考核调整事项表!$E:$E,考核调整事项表!$G:$G,累计考核费用!$B64,考核调整事项表!$F:$F,累计考核费用!W$55)</f>
        <v>0</v>
      </c>
      <c r="X64" s="302">
        <f>SUMIFS(考核调整事项表!$C:$C,考核调整事项表!$G:$G,累计考核费用!$B64,考核调整事项表!$D:$D,累计考核费用!X$55)+SUMIFS(考核调整事项表!$E:$E,考核调整事项表!$G:$G,累计考核费用!$B64,考核调整事项表!$F:$F,累计考核费用!X$55)</f>
        <v>0</v>
      </c>
      <c r="Y64" s="302">
        <f>SUMIFS(考核调整事项表!$C:$C,考核调整事项表!$G:$G,累计考核费用!$B64,考核调整事项表!$D:$D,累计考核费用!Y$55)+SUMIFS(考核调整事项表!$E:$E,考核调整事项表!$G:$G,累计考核费用!$B64,考核调整事项表!$F:$F,累计考核费用!Y$55)</f>
        <v>0</v>
      </c>
      <c r="Z64" s="302">
        <f>SUMIFS(考核调整事项表!$C:$C,考核调整事项表!$G:$G,累计考核费用!$B64,考核调整事项表!$D:$D,累计考核费用!Z$55)+SUMIFS(考核调整事项表!$E:$E,考核调整事项表!$G:$G,累计考核费用!$B64,考核调整事项表!$F:$F,累计考核费用!Z$55)</f>
        <v>0</v>
      </c>
      <c r="AA64" s="302">
        <f>SUMIFS(考核调整事项表!$C:$C,考核调整事项表!$G:$G,累计考核费用!$B64,考核调整事项表!$D:$D,累计考核费用!AA$55)+SUMIFS(考核调整事项表!$E:$E,考核调整事项表!$G:$G,累计考核费用!$B64,考核调整事项表!$F:$F,累计考核费用!AA$55)</f>
        <v>0</v>
      </c>
      <c r="AB64" s="302">
        <f>SUMIFS(考核调整事项表!$C:$C,考核调整事项表!$G:$G,累计考核费用!$B64,考核调整事项表!$D:$D,累计考核费用!AB$55)+SUMIFS(考核调整事项表!$E:$E,考核调整事项表!$G:$G,累计考核费用!$B64,考核调整事项表!$F:$F,累计考核费用!AB$55)</f>
        <v>0</v>
      </c>
      <c r="AC64" s="302">
        <f>SUMIFS(考核调整事项表!$C:$C,考核调整事项表!$G:$G,累计考核费用!$B64,考核调整事项表!$D:$D,累计考核费用!AC$55)+SUMIFS(考核调整事项表!$E:$E,考核调整事项表!$G:$G,累计考核费用!$B64,考核调整事项表!$F:$F,累计考核费用!AC$55)</f>
        <v>0</v>
      </c>
    </row>
    <row r="65" spans="1:29">
      <c r="A65" s="10"/>
      <c r="B65" s="57" t="s">
        <v>101</v>
      </c>
      <c r="C65" s="11">
        <f t="shared" si="7"/>
        <v>0</v>
      </c>
      <c r="D65" s="302">
        <f>SUMIFS(考核调整事项表!$C:$C,考核调整事项表!$G:$G,累计考核费用!$B65,考核调整事项表!$D:$D,累计考核费用!D$55)+SUMIFS(考核调整事项表!$E:$E,考核调整事项表!$G:$G,累计考核费用!$B65,考核调整事项表!$F:$F,累计考核费用!D$55)</f>
        <v>-6782540.92</v>
      </c>
      <c r="E65" s="302">
        <f>SUMIFS(考核调整事项表!$C:$C,考核调整事项表!$G:$G,累计考核费用!$B65,考核调整事项表!$D:$D,累计考核费用!E$55)+SUMIFS(考核调整事项表!$E:$E,考核调整事项表!$G:$G,累计考核费用!$B65,考核调整事项表!$F:$F,累计考核费用!E$55)+H65+S65+AB65+AC65</f>
        <v>6782540.92</v>
      </c>
      <c r="F65" s="302">
        <f>SUMIFS(考核调整事项表!$C:$C,考核调整事项表!$G:$G,累计考核费用!$B65,考核调整事项表!$D:$D,累计考核费用!F$55)+SUMIFS(考核调整事项表!$E:$E,考核调整事项表!$G:$G,累计考核费用!$B65,考核调整事项表!$F:$F,累计考核费用!F$55)</f>
        <v>0</v>
      </c>
      <c r="G65" s="302">
        <f t="shared" si="8"/>
        <v>0</v>
      </c>
      <c r="H65" s="302">
        <f>SUMIFS(考核调整事项表!$C:$C,考核调整事项表!$G:$G,累计考核费用!$B65,考核调整事项表!$D:$D,累计考核费用!H$55)+SUMIFS(考核调整事项表!$E:$E,考核调整事项表!$G:$G,累计考核费用!$B65,考核调整事项表!$F:$F,累计考核费用!H$55)</f>
        <v>-1217459.08</v>
      </c>
      <c r="I65" s="302">
        <f>SUMIFS(考核调整事项表!$C:$C,考核调整事项表!$G:$G,累计考核费用!$B65,考核调整事项表!$D:$D,累计考核费用!I$55)+SUMIFS(考核调整事项表!$E:$E,考核调整事项表!$G:$G,累计考核费用!$B65,考核调整事项表!$F:$F,累计考核费用!I$55)</f>
        <v>0</v>
      </c>
      <c r="J65" s="302">
        <f>SUMIFS(考核调整事项表!$C:$C,考核调整事项表!$G:$G,累计考核费用!$B65,考核调整事项表!$D:$D,累计考核费用!J$55)+SUMIFS(考核调整事项表!$E:$E,考核调整事项表!$G:$G,累计考核费用!$B65,考核调整事项表!$F:$F,累计考核费用!J$55)</f>
        <v>0</v>
      </c>
      <c r="K65" s="302">
        <f>SUMIFS(考核调整事项表!$C:$C,考核调整事项表!$G:$G,累计考核费用!$B65,考核调整事项表!$D:$D,累计考核费用!K$55)+SUMIFS(考核调整事项表!$E:$E,考核调整事项表!$G:$G,累计考核费用!$B65,考核调整事项表!$F:$F,累计考核费用!K$55)</f>
        <v>0</v>
      </c>
      <c r="L65" s="302">
        <f t="shared" si="9"/>
        <v>0</v>
      </c>
      <c r="M65" s="302">
        <f>SUMIFS(考核调整事项表!$C:$C,考核调整事项表!$G:$G,累计考核费用!$B65,考核调整事项表!$D:$D,累计考核费用!M$55)+SUMIFS(考核调整事项表!$E:$E,考核调整事项表!$G:$G,累计考核费用!$B65,考核调整事项表!$F:$F,累计考核费用!M$55)</f>
        <v>0</v>
      </c>
      <c r="N65" s="302">
        <f>SUMIFS(考核调整事项表!$C:$C,考核调整事项表!$G:$G,累计考核费用!$B65,考核调整事项表!$D:$D,累计考核费用!N$55)+SUMIFS(考核调整事项表!$E:$E,考核调整事项表!$G:$G,累计考核费用!$B65,考核调整事项表!$F:$F,累计考核费用!N$55)</f>
        <v>0</v>
      </c>
      <c r="O65" s="302">
        <f>SUMIFS(考核调整事项表!$C:$C,考核调整事项表!$G:$G,累计考核费用!$B65,考核调整事项表!$D:$D,累计考核费用!O$55)+SUMIFS(考核调整事项表!$E:$E,考核调整事项表!$G:$G,累计考核费用!$B65,考核调整事项表!$F:$F,累计考核费用!O$55)</f>
        <v>0</v>
      </c>
      <c r="P65" s="302">
        <f>SUMIFS(考核调整事项表!$C:$C,考核调整事项表!$G:$G,累计考核费用!$B65,考核调整事项表!$D:$D,累计考核费用!P$55)+SUMIFS(考核调整事项表!$E:$E,考核调整事项表!$G:$G,累计考核费用!$B65,考核调整事项表!$F:$F,累计考核费用!P$55)</f>
        <v>0</v>
      </c>
      <c r="Q65" s="302">
        <f>SUMIFS(考核调整事项表!$C:$C,考核调整事项表!$G:$G,累计考核费用!$B65,考核调整事项表!$D:$D,累计考核费用!Q$55)+SUMIFS(考核调整事项表!$E:$E,考核调整事项表!$G:$G,累计考核费用!$B65,考核调整事项表!$F:$F,累计考核费用!Q$55)</f>
        <v>0</v>
      </c>
      <c r="R65" s="302">
        <f>SUMIFS(考核调整事项表!$C:$C,考核调整事项表!$G:$G,累计考核费用!$B65,考核调整事项表!$D:$D,累计考核费用!R$55)+SUMIFS(考核调整事项表!$E:$E,考核调整事项表!$G:$G,累计考核费用!$B65,考核调整事项表!$F:$F,累计考核费用!R$55)</f>
        <v>0</v>
      </c>
      <c r="S65" s="302">
        <f>SUMIFS(考核调整事项表!$C:$C,考核调整事项表!$G:$G,累计考核费用!$B65,考核调整事项表!$D:$D,累计考核费用!S$55)+SUMIFS(考核调整事项表!$E:$E,考核调整事项表!$G:$G,累计考核费用!$B65,考核调整事项表!$F:$F,累计考核费用!S$55)</f>
        <v>0</v>
      </c>
      <c r="T65" s="305">
        <f t="shared" si="10"/>
        <v>0</v>
      </c>
      <c r="U65" s="302">
        <f>SUMIFS(考核调整事项表!$C:$C,考核调整事项表!$G:$G,累计考核费用!$B65,考核调整事项表!$D:$D,累计考核费用!U$55)+SUMIFS(考核调整事项表!$E:$E,考核调整事项表!$G:$G,累计考核费用!$B65,考核调整事项表!$F:$F,累计考核费用!U$55)</f>
        <v>0</v>
      </c>
      <c r="V65" s="302">
        <f>SUMIFS(考核调整事项表!$C:$C,考核调整事项表!$G:$G,累计考核费用!$B65,考核调整事项表!$D:$D,累计考核费用!V$55)+SUMIFS(考核调整事项表!$E:$E,考核调整事项表!$G:$G,累计考核费用!$B65,考核调整事项表!$F:$F,累计考核费用!V$55)</f>
        <v>0</v>
      </c>
      <c r="W65" s="302">
        <f>SUMIFS(考核调整事项表!$C:$C,考核调整事项表!$G:$G,累计考核费用!$B65,考核调整事项表!$D:$D,累计考核费用!W$55)+SUMIFS(考核调整事项表!$E:$E,考核调整事项表!$G:$G,累计考核费用!$B65,考核调整事项表!$F:$F,累计考核费用!W$55)</f>
        <v>0</v>
      </c>
      <c r="X65" s="302">
        <f>SUMIFS(考核调整事项表!$C:$C,考核调整事项表!$G:$G,累计考核费用!$B65,考核调整事项表!$D:$D,累计考核费用!X$55)+SUMIFS(考核调整事项表!$E:$E,考核调整事项表!$G:$G,累计考核费用!$B65,考核调整事项表!$F:$F,累计考核费用!X$55)</f>
        <v>0</v>
      </c>
      <c r="Y65" s="302">
        <f>SUMIFS(考核调整事项表!$C:$C,考核调整事项表!$G:$G,累计考核费用!$B65,考核调整事项表!$D:$D,累计考核费用!Y$55)+SUMIFS(考核调整事项表!$E:$E,考核调整事项表!$G:$G,累计考核费用!$B65,考核调整事项表!$F:$F,累计考核费用!Y$55)</f>
        <v>0</v>
      </c>
      <c r="Z65" s="302">
        <f>SUMIFS(考核调整事项表!$C:$C,考核调整事项表!$G:$G,累计考核费用!$B65,考核调整事项表!$D:$D,累计考核费用!Z$55)+SUMIFS(考核调整事项表!$E:$E,考核调整事项表!$G:$G,累计考核费用!$B65,考核调整事项表!$F:$F,累计考核费用!Z$55)</f>
        <v>0</v>
      </c>
      <c r="AA65" s="302">
        <f>SUMIFS(考核调整事项表!$C:$C,考核调整事项表!$G:$G,累计考核费用!$B65,考核调整事项表!$D:$D,累计考核费用!AA$55)+SUMIFS(考核调整事项表!$E:$E,考核调整事项表!$G:$G,累计考核费用!$B65,考核调整事项表!$F:$F,累计考核费用!AA$55)</f>
        <v>0</v>
      </c>
      <c r="AB65" s="302">
        <f>SUMIFS(考核调整事项表!$C:$C,考核调整事项表!$G:$G,累计考核费用!$B65,考核调整事项表!$D:$D,累计考核费用!AB$55)+SUMIFS(考核调整事项表!$E:$E,考核调整事项表!$G:$G,累计考核费用!$B65,考核调整事项表!$F:$F,累计考核费用!AB$55)</f>
        <v>0</v>
      </c>
      <c r="AC65" s="302">
        <f>SUMIFS(考核调整事项表!$C:$C,考核调整事项表!$G:$G,累计考核费用!$B65,考核调整事项表!$D:$D,累计考核费用!AC$55)+SUMIFS(考核调整事项表!$E:$E,考核调整事项表!$G:$G,累计考核费用!$B65,考核调整事项表!$F:$F,累计考核费用!AC$55)</f>
        <v>0</v>
      </c>
    </row>
    <row r="66" customHeight="1" spans="1:29">
      <c r="A66" s="12"/>
      <c r="B66" s="69" t="s">
        <v>102</v>
      </c>
      <c r="C66" s="306">
        <f t="shared" si="7"/>
        <v>0</v>
      </c>
      <c r="D66" s="306">
        <f>SUM(D56:D65)</f>
        <v>1217459.08</v>
      </c>
      <c r="E66" s="306">
        <f t="shared" ref="E66:AC66" si="11">SUM(E56:E65)</f>
        <v>3619308.46</v>
      </c>
      <c r="F66" s="306">
        <f t="shared" si="11"/>
        <v>-3435530.48</v>
      </c>
      <c r="G66" s="306">
        <f t="shared" si="11"/>
        <v>0</v>
      </c>
      <c r="H66" s="306">
        <f t="shared" si="11"/>
        <v>-1217459.08</v>
      </c>
      <c r="I66" s="306">
        <f t="shared" si="11"/>
        <v>0</v>
      </c>
      <c r="J66" s="306">
        <f t="shared" si="11"/>
        <v>0</v>
      </c>
      <c r="K66" s="306">
        <f t="shared" si="11"/>
        <v>0</v>
      </c>
      <c r="L66" s="306">
        <f t="shared" si="11"/>
        <v>0</v>
      </c>
      <c r="M66" s="306">
        <f t="shared" si="11"/>
        <v>0</v>
      </c>
      <c r="N66" s="306">
        <f t="shared" si="11"/>
        <v>0</v>
      </c>
      <c r="O66" s="306">
        <f t="shared" si="11"/>
        <v>0</v>
      </c>
      <c r="P66" s="306">
        <f t="shared" si="11"/>
        <v>0</v>
      </c>
      <c r="Q66" s="306">
        <f t="shared" si="11"/>
        <v>0</v>
      </c>
      <c r="R66" s="306">
        <f t="shared" si="11"/>
        <v>0</v>
      </c>
      <c r="S66" s="306">
        <f t="shared" si="11"/>
        <v>0</v>
      </c>
      <c r="T66" s="306">
        <f t="shared" si="11"/>
        <v>-1401237.06</v>
      </c>
      <c r="U66" s="306">
        <f t="shared" si="11"/>
        <v>-53832.62</v>
      </c>
      <c r="V66" s="306">
        <f t="shared" si="11"/>
        <v>0</v>
      </c>
      <c r="W66" s="306">
        <f t="shared" si="11"/>
        <v>-2230505.11</v>
      </c>
      <c r="X66" s="306">
        <f t="shared" si="11"/>
        <v>53832.62</v>
      </c>
      <c r="Y66" s="306">
        <f t="shared" si="11"/>
        <v>0</v>
      </c>
      <c r="Z66" s="306">
        <f t="shared" si="11"/>
        <v>0</v>
      </c>
      <c r="AA66" s="306">
        <f t="shared" si="11"/>
        <v>829268.05</v>
      </c>
      <c r="AB66" s="306">
        <f t="shared" si="11"/>
        <v>1401237.06</v>
      </c>
      <c r="AC66" s="306">
        <f t="shared" si="11"/>
        <v>0</v>
      </c>
    </row>
    <row r="67" customHeight="1" spans="1:29">
      <c r="A67" s="14" t="s">
        <v>103</v>
      </c>
      <c r="B67" s="57" t="s">
        <v>104</v>
      </c>
      <c r="C67" s="11">
        <f t="shared" si="7"/>
        <v>0</v>
      </c>
      <c r="D67" s="302">
        <f>SUMIFS(考核调整事项表!$C:$C,考核调整事项表!$G:$G,累计考核费用!$B67,考核调整事项表!$D:$D,累计考核费用!D$55)+SUMIFS(考核调整事项表!$E:$E,考核调整事项表!$G:$G,累计考核费用!$B67,考核调整事项表!$F:$F,累计考核费用!D$55)</f>
        <v>15445838.99</v>
      </c>
      <c r="E67" s="302">
        <f>SUMIFS(考核调整事项表!$C:$C,考核调整事项表!$G:$G,累计考核费用!$B67,考核调整事项表!$D:$D,累计考核费用!E$55)+SUMIFS(考核调整事项表!$E:$E,考核调整事项表!$G:$G,累计考核费用!$B67,考核调整事项表!$F:$F,累计考核费用!E$55)+H67+S67+AB67+AC67</f>
        <v>560629.18</v>
      </c>
      <c r="F67" s="302">
        <f>SUMIFS(考核调整事项表!$C:$C,考核调整事项表!$G:$G,累计考核费用!$B67,考核调整事项表!$D:$D,累计考核费用!F$55)+SUMIFS(考核调整事项表!$E:$E,考核调整事项表!$G:$G,累计考核费用!$B67,考核调整事项表!$F:$F,累计考核费用!F$55)</f>
        <v>102124.2</v>
      </c>
      <c r="G67" s="302">
        <f t="shared" si="8"/>
        <v>2709874.52</v>
      </c>
      <c r="H67" s="302">
        <f>SUMIFS(考核调整事项表!$C:$C,考核调整事项表!$G:$G,累计考核费用!$B67,考核调整事项表!$D:$D,累计考核费用!H$55)+SUMIFS(考核调整事项表!$E:$E,考核调整事项表!$G:$G,累计考核费用!$B67,考核调整事项表!$F:$F,累计考核费用!H$55)</f>
        <v>560629.18</v>
      </c>
      <c r="I67" s="302">
        <f>SUMIFS(考核调整事项表!$C:$C,考核调整事项表!$G:$G,累计考核费用!$B67,考核调整事项表!$D:$D,累计考核费用!I$55)+SUMIFS(考核调整事项表!$E:$E,考核调整事项表!$G:$G,累计考核费用!$B67,考核调整事项表!$F:$F,累计考核费用!I$55)</f>
        <v>0</v>
      </c>
      <c r="J67" s="302">
        <f>SUMIFS(考核调整事项表!$C:$C,考核调整事项表!$G:$G,累计考核费用!$B67,考核调整事项表!$D:$D,累计考核费用!J$55)+SUMIFS(考核调整事项表!$E:$E,考核调整事项表!$G:$G,累计考核费用!$B67,考核调整事项表!$F:$F,累计考核费用!J$55)</f>
        <v>1783382.02</v>
      </c>
      <c r="K67" s="302">
        <f>SUMIFS(考核调整事项表!$C:$C,考核调整事项表!$G:$G,累计考核费用!$B67,考核调整事项表!$D:$D,累计考核费用!K$55)+SUMIFS(考核调整事项表!$E:$E,考核调整事项表!$G:$G,累计考核费用!$B67,考核调整事项表!$F:$F,累计考核费用!K$55)</f>
        <v>926492.5</v>
      </c>
      <c r="L67" s="302">
        <f t="shared" si="9"/>
        <v>0</v>
      </c>
      <c r="M67" s="302">
        <f>SUMIFS(考核调整事项表!$C:$C,考核调整事项表!$G:$G,累计考核费用!$B67,考核调整事项表!$D:$D,累计考核费用!M$55)+SUMIFS(考核调整事项表!$E:$E,考核调整事项表!$G:$G,累计考核费用!$B67,考核调整事项表!$F:$F,累计考核费用!M$55)</f>
        <v>0</v>
      </c>
      <c r="N67" s="302">
        <f>SUMIFS(考核调整事项表!$C:$C,考核调整事项表!$G:$G,累计考核费用!$B67,考核调整事项表!$D:$D,累计考核费用!N$55)+SUMIFS(考核调整事项表!$E:$E,考核调整事项表!$G:$G,累计考核费用!$B67,考核调整事项表!$F:$F,累计考核费用!N$55)</f>
        <v>0</v>
      </c>
      <c r="O67" s="302">
        <f>SUMIFS(考核调整事项表!$C:$C,考核调整事项表!$G:$G,累计考核费用!$B67,考核调整事项表!$D:$D,累计考核费用!O$55)+SUMIFS(考核调整事项表!$E:$E,考核调整事项表!$G:$G,累计考核费用!$B67,考核调整事项表!$F:$F,累计考核费用!O$55)</f>
        <v>0</v>
      </c>
      <c r="P67" s="302">
        <f>SUMIFS(考核调整事项表!$C:$C,考核调整事项表!$G:$G,累计考核费用!$B67,考核调整事项表!$D:$D,累计考核费用!P$55)+SUMIFS(考核调整事项表!$E:$E,考核调整事项表!$G:$G,累计考核费用!$B67,考核调整事项表!$F:$F,累计考核费用!P$55)</f>
        <v>0</v>
      </c>
      <c r="Q67" s="302">
        <f>SUMIFS(考核调整事项表!$C:$C,考核调整事项表!$G:$G,累计考核费用!$B67,考核调整事项表!$D:$D,累计考核费用!Q$55)+SUMIFS(考核调整事项表!$E:$E,考核调整事项表!$G:$G,累计考核费用!$B67,考核调整事项表!$F:$F,累计考核费用!Q$55)</f>
        <v>0</v>
      </c>
      <c r="R67" s="302">
        <f>SUMIFS(考核调整事项表!$C:$C,考核调整事项表!$G:$G,累计考核费用!$B67,考核调整事项表!$D:$D,累计考核费用!R$55)+SUMIFS(考核调整事项表!$E:$E,考核调整事项表!$G:$G,累计考核费用!$B67,考核调整事项表!$F:$F,累计考核费用!R$55)</f>
        <v>0</v>
      </c>
      <c r="S67" s="302">
        <f>SUMIFS(考核调整事项表!$C:$C,考核调整事项表!$G:$G,累计考核费用!$B67,考核调整事项表!$D:$D,累计考核费用!S$55)+SUMIFS(考核调整事项表!$E:$E,考核调整事项表!$G:$G,累计考核费用!$B67,考核调整事项表!$F:$F,累计考核费用!S$55)</f>
        <v>0</v>
      </c>
      <c r="T67" s="305">
        <f t="shared" si="10"/>
        <v>-18818466.89</v>
      </c>
      <c r="U67" s="302">
        <f>SUMIFS(考核调整事项表!$C:$C,考核调整事项表!$G:$G,累计考核费用!$B67,考核调整事项表!$D:$D,累计考核费用!U$55)+SUMIFS(考核调整事项表!$E:$E,考核调整事项表!$G:$G,累计考核费用!$B67,考核调整事项表!$F:$F,累计考核费用!U$55)</f>
        <v>-23431.2</v>
      </c>
      <c r="V67" s="302">
        <f>SUMIFS(考核调整事项表!$C:$C,考核调整事项表!$G:$G,累计考核费用!$B67,考核调整事项表!$D:$D,累计考核费用!V$55)+SUMIFS(考核调整事项表!$E:$E,考核调整事项表!$G:$G,累计考核费用!$B67,考核调整事项表!$F:$F,累计考核费用!V$55)</f>
        <v>-17041771.36</v>
      </c>
      <c r="W67" s="302">
        <f>SUMIFS(考核调整事项表!$C:$C,考核调整事项表!$G:$G,累计考核费用!$B67,考核调整事项表!$D:$D,累计考核费用!W$55)+SUMIFS(考核调整事项表!$E:$E,考核调整事项表!$G:$G,累计考核费用!$B67,考核调整事项表!$F:$F,累计考核费用!W$55)</f>
        <v>-1753264.33</v>
      </c>
      <c r="X67" s="302">
        <f>SUMIFS(考核调整事项表!$C:$C,考核调整事项表!$G:$G,累计考核费用!$B67,考核调整事项表!$D:$D,累计考核费用!X$55)+SUMIFS(考核调整事项表!$E:$E,考核调整事项表!$G:$G,累计考核费用!$B67,考核调整事项表!$F:$F,累计考核费用!X$55)</f>
        <v>0</v>
      </c>
      <c r="Y67" s="302">
        <f>SUMIFS(考核调整事项表!$C:$C,考核调整事项表!$G:$G,累计考核费用!$B67,考核调整事项表!$D:$D,累计考核费用!Y$55)+SUMIFS(考核调整事项表!$E:$E,考核调整事项表!$G:$G,累计考核费用!$B67,考核调整事项表!$F:$F,累计考核费用!Y$55)</f>
        <v>0</v>
      </c>
      <c r="Z67" s="302">
        <f>SUMIFS(考核调整事项表!$C:$C,考核调整事项表!$G:$G,累计考核费用!$B67,考核调整事项表!$D:$D,累计考核费用!Z$55)+SUMIFS(考核调整事项表!$E:$E,考核调整事项表!$G:$G,累计考核费用!$B67,考核调整事项表!$F:$F,累计考核费用!Z$55)</f>
        <v>0</v>
      </c>
      <c r="AA67" s="302">
        <f>SUMIFS(考核调整事项表!$C:$C,考核调整事项表!$G:$G,累计考核费用!$B67,考核调整事项表!$D:$D,累计考核费用!AA$55)+SUMIFS(考核调整事项表!$E:$E,考核调整事项表!$G:$G,累计考核费用!$B67,考核调整事项表!$F:$F,累计考核费用!AA$55)</f>
        <v>0</v>
      </c>
      <c r="AB67" s="302">
        <f>SUMIFS(考核调整事项表!$C:$C,考核调整事项表!$G:$G,累计考核费用!$B67,考核调整事项表!$D:$D,累计考核费用!AB$55)+SUMIFS(考核调整事项表!$E:$E,考核调整事项表!$G:$G,累计考核费用!$B67,考核调整事项表!$F:$F,累计考核费用!AB$55)</f>
        <v>0</v>
      </c>
      <c r="AC67" s="302">
        <f>SUMIFS(考核调整事项表!$C:$C,考核调整事项表!$G:$G,累计考核费用!$B67,考核调整事项表!$D:$D,累计考核费用!AC$55)+SUMIFS(考核调整事项表!$E:$E,考核调整事项表!$G:$G,累计考核费用!$B67,考核调整事项表!$F:$F,累计考核费用!AC$55)</f>
        <v>0</v>
      </c>
    </row>
    <row r="68" spans="1:29">
      <c r="A68" s="16"/>
      <c r="B68" s="57" t="s">
        <v>105</v>
      </c>
      <c r="C68" s="11">
        <f t="shared" si="7"/>
        <v>0</v>
      </c>
      <c r="D68" s="302">
        <f>SUMIFS(考核调整事项表!$C:$C,考核调整事项表!$G:$G,累计考核费用!$B68,考核调整事项表!$D:$D,累计考核费用!D$55)+SUMIFS(考核调整事项表!$E:$E,考核调整事项表!$G:$G,累计考核费用!$B68,考核调整事项表!$F:$F,累计考核费用!D$55)</f>
        <v>5646775.83207547</v>
      </c>
      <c r="E68" s="302">
        <f>SUMIFS(考核调整事项表!$C:$C,考核调整事项表!$G:$G,累计考核费用!$B68,考核调整事项表!$D:$D,累计考核费用!E$55)+SUMIFS(考核调整事项表!$E:$E,考核调整事项表!$G:$G,累计考核费用!$B68,考核调整事项表!$F:$F,累计考核费用!E$55)+H68+S68+AB68+AC68</f>
        <v>0</v>
      </c>
      <c r="F68" s="302">
        <f>SUMIFS(考核调整事项表!$C:$C,考核调整事项表!$G:$G,累计考核费用!$B68,考核调整事项表!$D:$D,累计考核费用!F$55)+SUMIFS(考核调整事项表!$E:$E,考核调整事项表!$G:$G,累计考核费用!$B68,考核调整事项表!$F:$F,累计考核费用!F$55)</f>
        <v>-5611175.83207547</v>
      </c>
      <c r="G68" s="302">
        <f t="shared" si="8"/>
        <v>-606</v>
      </c>
      <c r="H68" s="302">
        <f>SUMIFS(考核调整事项表!$C:$C,考核调整事项表!$G:$G,累计考核费用!$B68,考核调整事项表!$D:$D,累计考核费用!H$55)+SUMIFS(考核调整事项表!$E:$E,考核调整事项表!$G:$G,累计考核费用!$B68,考核调整事项表!$F:$F,累计考核费用!H$55)</f>
        <v>0</v>
      </c>
      <c r="I68" s="302">
        <f>SUMIFS(考核调整事项表!$C:$C,考核调整事项表!$G:$G,累计考核费用!$B68,考核调整事项表!$D:$D,累计考核费用!I$55)+SUMIFS(考核调整事项表!$E:$E,考核调整事项表!$G:$G,累计考核费用!$B68,考核调整事项表!$F:$F,累计考核费用!I$55)</f>
        <v>0</v>
      </c>
      <c r="J68" s="302">
        <f>SUMIFS(考核调整事项表!$C:$C,考核调整事项表!$G:$G,累计考核费用!$B68,考核调整事项表!$D:$D,累计考核费用!J$55)+SUMIFS(考核调整事项表!$E:$E,考核调整事项表!$G:$G,累计考核费用!$B68,考核调整事项表!$F:$F,累计考核费用!J$55)</f>
        <v>0</v>
      </c>
      <c r="K68" s="302">
        <f>SUMIFS(考核调整事项表!$C:$C,考核调整事项表!$G:$G,累计考核费用!$B68,考核调整事项表!$D:$D,累计考核费用!K$55)+SUMIFS(考核调整事项表!$E:$E,考核调整事项表!$G:$G,累计考核费用!$B68,考核调整事项表!$F:$F,累计考核费用!K$55)</f>
        <v>-606</v>
      </c>
      <c r="L68" s="302">
        <f t="shared" si="9"/>
        <v>20000</v>
      </c>
      <c r="M68" s="302">
        <f>SUMIFS(考核调整事项表!$C:$C,考核调整事项表!$G:$G,累计考核费用!$B68,考核调整事项表!$D:$D,累计考核费用!M$55)+SUMIFS(考核调整事项表!$E:$E,考核调整事项表!$G:$G,累计考核费用!$B68,考核调整事项表!$F:$F,累计考核费用!M$55)</f>
        <v>0</v>
      </c>
      <c r="N68" s="302">
        <f>SUMIFS(考核调整事项表!$C:$C,考核调整事项表!$G:$G,累计考核费用!$B68,考核调整事项表!$D:$D,累计考核费用!N$55)+SUMIFS(考核调整事项表!$E:$E,考核调整事项表!$G:$G,累计考核费用!$B68,考核调整事项表!$F:$F,累计考核费用!N$55)</f>
        <v>20000</v>
      </c>
      <c r="O68" s="302">
        <f>SUMIFS(考核调整事项表!$C:$C,考核调整事项表!$G:$G,累计考核费用!$B68,考核调整事项表!$D:$D,累计考核费用!O$55)+SUMIFS(考核调整事项表!$E:$E,考核调整事项表!$G:$G,累计考核费用!$B68,考核调整事项表!$F:$F,累计考核费用!O$55)</f>
        <v>0</v>
      </c>
      <c r="P68" s="302">
        <f>SUMIFS(考核调整事项表!$C:$C,考核调整事项表!$G:$G,累计考核费用!$B68,考核调整事项表!$D:$D,累计考核费用!P$55)+SUMIFS(考核调整事项表!$E:$E,考核调整事项表!$G:$G,累计考核费用!$B68,考核调整事项表!$F:$F,累计考核费用!P$55)</f>
        <v>0</v>
      </c>
      <c r="Q68" s="302">
        <f>SUMIFS(考核调整事项表!$C:$C,考核调整事项表!$G:$G,累计考核费用!$B68,考核调整事项表!$D:$D,累计考核费用!Q$55)+SUMIFS(考核调整事项表!$E:$E,考核调整事项表!$G:$G,累计考核费用!$B68,考核调整事项表!$F:$F,累计考核费用!Q$55)</f>
        <v>0</v>
      </c>
      <c r="R68" s="302">
        <f>SUMIFS(考核调整事项表!$C:$C,考核调整事项表!$G:$G,累计考核费用!$B68,考核调整事项表!$D:$D,累计考核费用!R$55)+SUMIFS(考核调整事项表!$E:$E,考核调整事项表!$G:$G,累计考核费用!$B68,考核调整事项表!$F:$F,累计考核费用!R$55)</f>
        <v>0</v>
      </c>
      <c r="S68" s="302">
        <f>SUMIFS(考核调整事项表!$C:$C,考核调整事项表!$G:$G,累计考核费用!$B68,考核调整事项表!$D:$D,累计考核费用!S$55)+SUMIFS(考核调整事项表!$E:$E,考核调整事项表!$G:$G,累计考核费用!$B68,考核调整事项表!$F:$F,累计考核费用!S$55)</f>
        <v>0</v>
      </c>
      <c r="T68" s="305">
        <f t="shared" si="10"/>
        <v>-54994</v>
      </c>
      <c r="U68" s="302">
        <f>SUMIFS(考核调整事项表!$C:$C,考核调整事项表!$G:$G,累计考核费用!$B68,考核调整事项表!$D:$D,累计考核费用!U$55)+SUMIFS(考核调整事项表!$E:$E,考核调整事项表!$G:$G,累计考核费用!$B68,考核调整事项表!$F:$F,累计考核费用!U$55)</f>
        <v>-54994</v>
      </c>
      <c r="V68" s="302">
        <f>SUMIFS(考核调整事项表!$C:$C,考核调整事项表!$G:$G,累计考核费用!$B68,考核调整事项表!$D:$D,累计考核费用!V$55)+SUMIFS(考核调整事项表!$E:$E,考核调整事项表!$G:$G,累计考核费用!$B68,考核调整事项表!$F:$F,累计考核费用!V$55)</f>
        <v>0</v>
      </c>
      <c r="W68" s="302">
        <f>SUMIFS(考核调整事项表!$C:$C,考核调整事项表!$G:$G,累计考核费用!$B68,考核调整事项表!$D:$D,累计考核费用!W$55)+SUMIFS(考核调整事项表!$E:$E,考核调整事项表!$G:$G,累计考核费用!$B68,考核调整事项表!$F:$F,累计考核费用!W$55)</f>
        <v>0</v>
      </c>
      <c r="X68" s="302">
        <f>SUMIFS(考核调整事项表!$C:$C,考核调整事项表!$G:$G,累计考核费用!$B68,考核调整事项表!$D:$D,累计考核费用!X$55)+SUMIFS(考核调整事项表!$E:$E,考核调整事项表!$G:$G,累计考核费用!$B68,考核调整事项表!$F:$F,累计考核费用!X$55)</f>
        <v>0</v>
      </c>
      <c r="Y68" s="302">
        <f>SUMIFS(考核调整事项表!$C:$C,考核调整事项表!$G:$G,累计考核费用!$B68,考核调整事项表!$D:$D,累计考核费用!Y$55)+SUMIFS(考核调整事项表!$E:$E,考核调整事项表!$G:$G,累计考核费用!$B68,考核调整事项表!$F:$F,累计考核费用!Y$55)</f>
        <v>0</v>
      </c>
      <c r="Z68" s="302">
        <f>SUMIFS(考核调整事项表!$C:$C,考核调整事项表!$G:$G,累计考核费用!$B68,考核调整事项表!$D:$D,累计考核费用!Z$55)+SUMIFS(考核调整事项表!$E:$E,考核调整事项表!$G:$G,累计考核费用!$B68,考核调整事项表!$F:$F,累计考核费用!Z$55)</f>
        <v>0</v>
      </c>
      <c r="AA68" s="302">
        <f>SUMIFS(考核调整事项表!$C:$C,考核调整事项表!$G:$G,累计考核费用!$B68,考核调整事项表!$D:$D,累计考核费用!AA$55)+SUMIFS(考核调整事项表!$E:$E,考核调整事项表!$G:$G,累计考核费用!$B68,考核调整事项表!$F:$F,累计考核费用!AA$55)</f>
        <v>0</v>
      </c>
      <c r="AB68" s="302">
        <f>SUMIFS(考核调整事项表!$C:$C,考核调整事项表!$G:$G,累计考核费用!$B68,考核调整事项表!$D:$D,累计考核费用!AB$55)+SUMIFS(考核调整事项表!$E:$E,考核调整事项表!$G:$G,累计考核费用!$B68,考核调整事项表!$F:$F,累计考核费用!AB$55)</f>
        <v>0</v>
      </c>
      <c r="AC68" s="302">
        <f>SUMIFS(考核调整事项表!$C:$C,考核调整事项表!$G:$G,累计考核费用!$B68,考核调整事项表!$D:$D,累计考核费用!AC$55)+SUMIFS(考核调整事项表!$E:$E,考核调整事项表!$G:$G,累计考核费用!$B68,考核调整事项表!$F:$F,累计考核费用!AC$55)</f>
        <v>0</v>
      </c>
    </row>
    <row r="69" spans="1:29">
      <c r="A69" s="16"/>
      <c r="B69" s="57" t="s">
        <v>106</v>
      </c>
      <c r="C69" s="11">
        <f t="shared" si="7"/>
        <v>0</v>
      </c>
      <c r="D69" s="302">
        <f>SUMIFS(考核调整事项表!$C:$C,考核调整事项表!$G:$G,累计考核费用!$B69,考核调整事项表!$D:$D,累计考核费用!D$55)+SUMIFS(考核调整事项表!$E:$E,考核调整事项表!$G:$G,累计考核费用!$B69,考核调整事项表!$F:$F,累计考核费用!D$55)</f>
        <v>704823.236975</v>
      </c>
      <c r="E69" s="302">
        <f>SUMIFS(考核调整事项表!$C:$C,考核调整事项表!$G:$G,累计考核费用!$B69,考核调整事项表!$D:$D,累计考核费用!E$55)+SUMIFS(考核调整事项表!$E:$E,考核调整事项表!$G:$G,累计考核费用!$B69,考核调整事项表!$F:$F,累计考核费用!E$55)+H69+S69+AB69+AC69</f>
        <v>-52669.91</v>
      </c>
      <c r="F69" s="302">
        <f>SUMIFS(考核调整事项表!$C:$C,考核调整事项表!$G:$G,累计考核费用!$B69,考核调整事项表!$D:$D,累计考核费用!F$55)+SUMIFS(考核调整事项表!$E:$E,考核调整事项表!$G:$G,累计考核费用!$B69,考核调整事项表!$F:$F,累计考核费用!F$55)</f>
        <v>559302.06</v>
      </c>
      <c r="G69" s="302">
        <f t="shared" si="8"/>
        <v>-282987.9</v>
      </c>
      <c r="H69" s="302">
        <f>SUMIFS(考核调整事项表!$C:$C,考核调整事项表!$G:$G,累计考核费用!$B69,考核调整事项表!$D:$D,累计考核费用!H$55)+SUMIFS(考核调整事项表!$E:$E,考核调整事项表!$G:$G,累计考核费用!$B69,考核调整事项表!$F:$F,累计考核费用!H$55)</f>
        <v>169535.81</v>
      </c>
      <c r="I69" s="302">
        <f>SUMIFS(考核调整事项表!$C:$C,考核调整事项表!$G:$G,累计考核费用!$B69,考核调整事项表!$D:$D,累计考核费用!I$55)+SUMIFS(考核调整事项表!$E:$E,考核调整事项表!$G:$G,累计考核费用!$B69,考核调整事项表!$F:$F,累计考核费用!I$55)</f>
        <v>-100723.69</v>
      </c>
      <c r="J69" s="302">
        <f>SUMIFS(考核调整事项表!$C:$C,考核调整事项表!$G:$G,累计考核费用!$B69,考核调整事项表!$D:$D,累计考核费用!J$55)+SUMIFS(考核调整事项表!$E:$E,考核调整事项表!$G:$G,累计考核费用!$B69,考核调整事项表!$F:$F,累计考核费用!J$55)</f>
        <v>-56047.7</v>
      </c>
      <c r="K69" s="302">
        <f>SUMIFS(考核调整事项表!$C:$C,考核调整事项表!$G:$G,累计考核费用!$B69,考核调整事项表!$D:$D,累计考核费用!K$55)+SUMIFS(考核调整事项表!$E:$E,考核调整事项表!$G:$G,累计考核费用!$B69,考核调整事项表!$F:$F,累计考核费用!K$55)</f>
        <v>-126216.51</v>
      </c>
      <c r="L69" s="302">
        <f t="shared" si="9"/>
        <v>-1086440.146975</v>
      </c>
      <c r="M69" s="302">
        <f>SUMIFS(考核调整事项表!$C:$C,考核调整事项表!$G:$G,累计考核费用!$B69,考核调整事项表!$D:$D,累计考核费用!M$55)+SUMIFS(考核调整事项表!$E:$E,考核调整事项表!$G:$G,累计考核费用!$B69,考核调整事项表!$F:$F,累计考核费用!M$55)</f>
        <v>-108498.04</v>
      </c>
      <c r="N69" s="302">
        <f>SUMIFS(考核调整事项表!$C:$C,考核调整事项表!$G:$G,累计考核费用!$B69,考核调整事项表!$D:$D,累计考核费用!N$55)+SUMIFS(考核调整事项表!$E:$E,考核调整事项表!$G:$G,累计考核费用!$B69,考核调整事项表!$F:$F,累计考核费用!N$55)</f>
        <v>-82124.12</v>
      </c>
      <c r="O69" s="302">
        <f>SUMIFS(考核调整事项表!$C:$C,考核调整事项表!$G:$G,累计考核费用!$B69,考核调整事项表!$D:$D,累计考核费用!O$55)+SUMIFS(考核调整事项表!$E:$E,考核调整事项表!$G:$G,累计考核费用!$B69,考核调整事项表!$F:$F,累计考核费用!O$55)</f>
        <v>942.880000000001</v>
      </c>
      <c r="P69" s="302">
        <f>SUMIFS(考核调整事项表!$C:$C,考核调整事项表!$G:$G,累计考核费用!$B69,考核调整事项表!$D:$D,累计考核费用!P$55)+SUMIFS(考核调整事项表!$E:$E,考核调整事项表!$G:$G,累计考核费用!$B69,考核调整事项表!$F:$F,累计考核费用!P$55)</f>
        <v>19837.57</v>
      </c>
      <c r="Q69" s="302">
        <f>SUMIFS(考核调整事项表!$C:$C,考核调整事项表!$G:$G,累计考核费用!$B69,考核调整事项表!$D:$D,累计考核费用!Q$55)+SUMIFS(考核调整事项表!$E:$E,考核调整事项表!$G:$G,累计考核费用!$B69,考核调整事项表!$F:$F,累计考核费用!Q$55)</f>
        <v>-1170756.67</v>
      </c>
      <c r="R69" s="302">
        <f>SUMIFS(考核调整事项表!$C:$C,考核调整事项表!$G:$G,累计考核费用!$B69,考核调整事项表!$D:$D,累计考核费用!R$55)+SUMIFS(考核调整事项表!$E:$E,考核调整事项表!$G:$G,累计考核费用!$B69,考核调整事项表!$F:$F,累计考核费用!R$55)</f>
        <v>254158.233025</v>
      </c>
      <c r="S69" s="302">
        <f>SUMIFS(考核调整事项表!$C:$C,考核调整事项表!$G:$G,累计考核费用!$B69,考核调整事项表!$D:$D,累计考核费用!S$55)+SUMIFS(考核调整事项表!$E:$E,考核调整事项表!$G:$G,累计考核费用!$B69,考核调整事项表!$F:$F,累计考核费用!S$55)</f>
        <v>0</v>
      </c>
      <c r="T69" s="305">
        <f t="shared" si="10"/>
        <v>157972.66</v>
      </c>
      <c r="U69" s="302">
        <f>SUMIFS(考核调整事项表!$C:$C,考核调整事项表!$G:$G,累计考核费用!$B69,考核调整事项表!$D:$D,累计考核费用!U$55)+SUMIFS(考核调整事项表!$E:$E,考核调整事项表!$G:$G,累计考核费用!$B69,考核调整事项表!$F:$F,累计考核费用!U$55)</f>
        <v>-35091.16</v>
      </c>
      <c r="V69" s="302">
        <f>SUMIFS(考核调整事项表!$C:$C,考核调整事项表!$G:$G,累计考核费用!$B69,考核调整事项表!$D:$D,累计考核费用!V$55)+SUMIFS(考核调整事项表!$E:$E,考核调整事项表!$G:$G,累计考核费用!$B69,考核调整事项表!$F:$F,累计考核费用!V$55)</f>
        <v>200575.57</v>
      </c>
      <c r="W69" s="302">
        <f>SUMIFS(考核调整事项表!$C:$C,考核调整事项表!$G:$G,累计考核费用!$B69,考核调整事项表!$D:$D,累计考核费用!W$55)+SUMIFS(考核调整事项表!$E:$E,考核调整事项表!$G:$G,累计考核费用!$B69,考核调整事项表!$F:$F,累计考核费用!W$55)</f>
        <v>2811.67</v>
      </c>
      <c r="X69" s="302">
        <f>SUMIFS(考核调整事项表!$C:$C,考核调整事项表!$G:$G,累计考核费用!$B69,考核调整事项表!$D:$D,累计考核费用!X$55)+SUMIFS(考核调整事项表!$E:$E,考核调整事项表!$G:$G,累计考核费用!$B69,考核调整事项表!$F:$F,累计考核费用!X$55)</f>
        <v>-10323.42</v>
      </c>
      <c r="Y69" s="302">
        <f>SUMIFS(考核调整事项表!$C:$C,考核调整事项表!$G:$G,累计考核费用!$B69,考核调整事项表!$D:$D,累计考核费用!Y$55)+SUMIFS(考核调整事项表!$E:$E,考核调整事项表!$G:$G,累计考核费用!$B69,考核调整事项表!$F:$F,累计考核费用!Y$55)</f>
        <v>0</v>
      </c>
      <c r="Z69" s="302">
        <f>SUMIFS(考核调整事项表!$C:$C,考核调整事项表!$G:$G,累计考核费用!$B69,考核调整事项表!$D:$D,累计考核费用!Z$55)+SUMIFS(考核调整事项表!$E:$E,考核调整事项表!$G:$G,累计考核费用!$B69,考核调整事项表!$F:$F,累计考核费用!Z$55)</f>
        <v>0</v>
      </c>
      <c r="AA69" s="302">
        <f>SUMIFS(考核调整事项表!$C:$C,考核调整事项表!$G:$G,累计考核费用!$B69,考核调整事项表!$D:$D,累计考核费用!AA$55)+SUMIFS(考核调整事项表!$E:$E,考核调整事项表!$G:$G,累计考核费用!$B69,考核调整事项表!$F:$F,累计考核费用!AA$55)</f>
        <v>0</v>
      </c>
      <c r="AB69" s="302">
        <f>SUMIFS(考核调整事项表!$C:$C,考核调整事项表!$G:$G,累计考核费用!$B69,考核调整事项表!$D:$D,累计考核费用!AB$55)+SUMIFS(考核调整事项表!$E:$E,考核调整事项表!$G:$G,累计考核费用!$B69,考核调整事项表!$F:$F,累计考核费用!AB$55)</f>
        <v>-9905.66</v>
      </c>
      <c r="AC69" s="302">
        <f>SUMIFS(考核调整事项表!$C:$C,考核调整事项表!$G:$G,累计考核费用!$B69,考核调整事项表!$D:$D,累计考核费用!AC$55)+SUMIFS(考核调整事项表!$E:$E,考核调整事项表!$G:$G,累计考核费用!$B69,考核调整事项表!$F:$F,累计考核费用!AC$55)</f>
        <v>0</v>
      </c>
    </row>
    <row r="70" spans="1:29">
      <c r="A70" s="16"/>
      <c r="B70" s="57" t="s">
        <v>107</v>
      </c>
      <c r="C70" s="11">
        <f t="shared" si="7"/>
        <v>0</v>
      </c>
      <c r="D70" s="302">
        <f>SUMIFS(考核调整事项表!$C:$C,考核调整事项表!$G:$G,累计考核费用!$B70,考核调整事项表!$D:$D,累计考核费用!D$55)+SUMIFS(考核调整事项表!$E:$E,考核调整事项表!$G:$G,累计考核费用!$B70,考核调整事项表!$F:$F,累计考核费用!D$55)</f>
        <v>0</v>
      </c>
      <c r="E70" s="302">
        <f>SUMIFS(考核调整事项表!$C:$C,考核调整事项表!$G:$G,累计考核费用!$B70,考核调整事项表!$D:$D,累计考核费用!E$55)+SUMIFS(考核调整事项表!$E:$E,考核调整事项表!$G:$G,累计考核费用!$B70,考核调整事项表!$F:$F,累计考核费用!E$55)+H70+S70+AB70+AC70</f>
        <v>0</v>
      </c>
      <c r="F70" s="302">
        <f>SUMIFS(考核调整事项表!$C:$C,考核调整事项表!$G:$G,累计考核费用!$B70,考核调整事项表!$D:$D,累计考核费用!F$55)+SUMIFS(考核调整事项表!$E:$E,考核调整事项表!$G:$G,累计考核费用!$B70,考核调整事项表!$F:$F,累计考核费用!F$55)</f>
        <v>0</v>
      </c>
      <c r="G70" s="302">
        <f t="shared" si="8"/>
        <v>0</v>
      </c>
      <c r="H70" s="302">
        <f>SUMIFS(考核调整事项表!$C:$C,考核调整事项表!$G:$G,累计考核费用!$B70,考核调整事项表!$D:$D,累计考核费用!H$55)+SUMIFS(考核调整事项表!$E:$E,考核调整事项表!$G:$G,累计考核费用!$B70,考核调整事项表!$F:$F,累计考核费用!H$55)</f>
        <v>0</v>
      </c>
      <c r="I70" s="302">
        <f>SUMIFS(考核调整事项表!$C:$C,考核调整事项表!$G:$G,累计考核费用!$B70,考核调整事项表!$D:$D,累计考核费用!I$55)+SUMIFS(考核调整事项表!$E:$E,考核调整事项表!$G:$G,累计考核费用!$B70,考核调整事项表!$F:$F,累计考核费用!I$55)</f>
        <v>0</v>
      </c>
      <c r="J70" s="302">
        <f>SUMIFS(考核调整事项表!$C:$C,考核调整事项表!$G:$G,累计考核费用!$B70,考核调整事项表!$D:$D,累计考核费用!J$55)+SUMIFS(考核调整事项表!$E:$E,考核调整事项表!$G:$G,累计考核费用!$B70,考核调整事项表!$F:$F,累计考核费用!J$55)</f>
        <v>0</v>
      </c>
      <c r="K70" s="302">
        <f>SUMIFS(考核调整事项表!$C:$C,考核调整事项表!$G:$G,累计考核费用!$B70,考核调整事项表!$D:$D,累计考核费用!K$55)+SUMIFS(考核调整事项表!$E:$E,考核调整事项表!$G:$G,累计考核费用!$B70,考核调整事项表!$F:$F,累计考核费用!K$55)</f>
        <v>0</v>
      </c>
      <c r="L70" s="302">
        <f t="shared" si="9"/>
        <v>0</v>
      </c>
      <c r="M70" s="302">
        <f>SUMIFS(考核调整事项表!$C:$C,考核调整事项表!$G:$G,累计考核费用!$B70,考核调整事项表!$D:$D,累计考核费用!M$55)+SUMIFS(考核调整事项表!$E:$E,考核调整事项表!$G:$G,累计考核费用!$B70,考核调整事项表!$F:$F,累计考核费用!M$55)</f>
        <v>0</v>
      </c>
      <c r="N70" s="302">
        <f>SUMIFS(考核调整事项表!$C:$C,考核调整事项表!$G:$G,累计考核费用!$B70,考核调整事项表!$D:$D,累计考核费用!N$55)+SUMIFS(考核调整事项表!$E:$E,考核调整事项表!$G:$G,累计考核费用!$B70,考核调整事项表!$F:$F,累计考核费用!N$55)</f>
        <v>0</v>
      </c>
      <c r="O70" s="302">
        <f>SUMIFS(考核调整事项表!$C:$C,考核调整事项表!$G:$G,累计考核费用!$B70,考核调整事项表!$D:$D,累计考核费用!O$55)+SUMIFS(考核调整事项表!$E:$E,考核调整事项表!$G:$G,累计考核费用!$B70,考核调整事项表!$F:$F,累计考核费用!O$55)</f>
        <v>0</v>
      </c>
      <c r="P70" s="302">
        <f>SUMIFS(考核调整事项表!$C:$C,考核调整事项表!$G:$G,累计考核费用!$B70,考核调整事项表!$D:$D,累计考核费用!P$55)+SUMIFS(考核调整事项表!$E:$E,考核调整事项表!$G:$G,累计考核费用!$B70,考核调整事项表!$F:$F,累计考核费用!P$55)</f>
        <v>0</v>
      </c>
      <c r="Q70" s="302">
        <f>SUMIFS(考核调整事项表!$C:$C,考核调整事项表!$G:$G,累计考核费用!$B70,考核调整事项表!$D:$D,累计考核费用!Q$55)+SUMIFS(考核调整事项表!$E:$E,考核调整事项表!$G:$G,累计考核费用!$B70,考核调整事项表!$F:$F,累计考核费用!Q$55)</f>
        <v>0</v>
      </c>
      <c r="R70" s="302">
        <f>SUMIFS(考核调整事项表!$C:$C,考核调整事项表!$G:$G,累计考核费用!$B70,考核调整事项表!$D:$D,累计考核费用!R$55)+SUMIFS(考核调整事项表!$E:$E,考核调整事项表!$G:$G,累计考核费用!$B70,考核调整事项表!$F:$F,累计考核费用!R$55)</f>
        <v>0</v>
      </c>
      <c r="S70" s="302">
        <f>SUMIFS(考核调整事项表!$C:$C,考核调整事项表!$G:$G,累计考核费用!$B70,考核调整事项表!$D:$D,累计考核费用!S$55)+SUMIFS(考核调整事项表!$E:$E,考核调整事项表!$G:$G,累计考核费用!$B70,考核调整事项表!$F:$F,累计考核费用!S$55)</f>
        <v>0</v>
      </c>
      <c r="T70" s="305">
        <f t="shared" si="10"/>
        <v>0</v>
      </c>
      <c r="U70" s="302">
        <f>SUMIFS(考核调整事项表!$C:$C,考核调整事项表!$G:$G,累计考核费用!$B70,考核调整事项表!$D:$D,累计考核费用!U$55)+SUMIFS(考核调整事项表!$E:$E,考核调整事项表!$G:$G,累计考核费用!$B70,考核调整事项表!$F:$F,累计考核费用!U$55)</f>
        <v>0</v>
      </c>
      <c r="V70" s="302">
        <f>SUMIFS(考核调整事项表!$C:$C,考核调整事项表!$G:$G,累计考核费用!$B70,考核调整事项表!$D:$D,累计考核费用!V$55)+SUMIFS(考核调整事项表!$E:$E,考核调整事项表!$G:$G,累计考核费用!$B70,考核调整事项表!$F:$F,累计考核费用!V$55)</f>
        <v>0</v>
      </c>
      <c r="W70" s="302">
        <f>SUMIFS(考核调整事项表!$C:$C,考核调整事项表!$G:$G,累计考核费用!$B70,考核调整事项表!$D:$D,累计考核费用!W$55)+SUMIFS(考核调整事项表!$E:$E,考核调整事项表!$G:$G,累计考核费用!$B70,考核调整事项表!$F:$F,累计考核费用!W$55)</f>
        <v>0</v>
      </c>
      <c r="X70" s="302">
        <f>SUMIFS(考核调整事项表!$C:$C,考核调整事项表!$G:$G,累计考核费用!$B70,考核调整事项表!$D:$D,累计考核费用!X$55)+SUMIFS(考核调整事项表!$E:$E,考核调整事项表!$G:$G,累计考核费用!$B70,考核调整事项表!$F:$F,累计考核费用!X$55)</f>
        <v>0</v>
      </c>
      <c r="Y70" s="302">
        <f>SUMIFS(考核调整事项表!$C:$C,考核调整事项表!$G:$G,累计考核费用!$B70,考核调整事项表!$D:$D,累计考核费用!Y$55)+SUMIFS(考核调整事项表!$E:$E,考核调整事项表!$G:$G,累计考核费用!$B70,考核调整事项表!$F:$F,累计考核费用!Y$55)</f>
        <v>0</v>
      </c>
      <c r="Z70" s="302">
        <f>SUMIFS(考核调整事项表!$C:$C,考核调整事项表!$G:$G,累计考核费用!$B70,考核调整事项表!$D:$D,累计考核费用!Z$55)+SUMIFS(考核调整事项表!$E:$E,考核调整事项表!$G:$G,累计考核费用!$B70,考核调整事项表!$F:$F,累计考核费用!Z$55)</f>
        <v>0</v>
      </c>
      <c r="AA70" s="302">
        <f>SUMIFS(考核调整事项表!$C:$C,考核调整事项表!$G:$G,累计考核费用!$B70,考核调整事项表!$D:$D,累计考核费用!AA$55)+SUMIFS(考核调整事项表!$E:$E,考核调整事项表!$G:$G,累计考核费用!$B70,考核调整事项表!$F:$F,累计考核费用!AA$55)</f>
        <v>0</v>
      </c>
      <c r="AB70" s="302">
        <f>SUMIFS(考核调整事项表!$C:$C,考核调整事项表!$G:$G,累计考核费用!$B70,考核调整事项表!$D:$D,累计考核费用!AB$55)+SUMIFS(考核调整事项表!$E:$E,考核调整事项表!$G:$G,累计考核费用!$B70,考核调整事项表!$F:$F,累计考核费用!AB$55)</f>
        <v>0</v>
      </c>
      <c r="AC70" s="302">
        <f>SUMIFS(考核调整事项表!$C:$C,考核调整事项表!$G:$G,累计考核费用!$B70,考核调整事项表!$D:$D,累计考核费用!AC$55)+SUMIFS(考核调整事项表!$E:$E,考核调整事项表!$G:$G,累计考核费用!$B70,考核调整事项表!$F:$F,累计考核费用!AC$55)</f>
        <v>0</v>
      </c>
    </row>
    <row r="71" customHeight="1" spans="1:29">
      <c r="A71" s="16"/>
      <c r="B71" s="57" t="s">
        <v>108</v>
      </c>
      <c r="C71" s="11">
        <f t="shared" si="7"/>
        <v>2.91038304567337e-11</v>
      </c>
      <c r="D71" s="302">
        <f>SUMIFS(考核调整事项表!$C:$C,考核调整事项表!$G:$G,累计考核费用!$B71,考核调整事项表!$D:$D,累计考核费用!D$55)+SUMIFS(考核调整事项表!$E:$E,考核调整事项表!$G:$G,累计考核费用!$B71,考核调整事项表!$F:$F,累计考核费用!D$55)</f>
        <v>0</v>
      </c>
      <c r="E71" s="302">
        <f>SUMIFS(考核调整事项表!$C:$C,考核调整事项表!$G:$G,累计考核费用!$B71,考核调整事项表!$D:$D,累计考核费用!E$55)+SUMIFS(考核调整事项表!$E:$E,考核调整事项表!$G:$G,累计考核费用!$B71,考核调整事项表!$F:$F,累计考核费用!E$55)+H71+S71+AB71+AC71</f>
        <v>-462602.74</v>
      </c>
      <c r="F71" s="302">
        <f>SUMIFS(考核调整事项表!$C:$C,考核调整事项表!$G:$G,累计考核费用!$B71,考核调整事项表!$D:$D,累计考核费用!F$55)+SUMIFS(考核调整事项表!$E:$E,考核调整事项表!$G:$G,累计考核费用!$B71,考核调整事项表!$F:$F,累计考核费用!F$55)</f>
        <v>0</v>
      </c>
      <c r="G71" s="302">
        <f t="shared" si="8"/>
        <v>342454.34</v>
      </c>
      <c r="H71" s="302">
        <f>SUMIFS(考核调整事项表!$C:$C,考核调整事项表!$G:$G,累计考核费用!$B71,考核调整事项表!$D:$D,累计考核费用!H$55)+SUMIFS(考核调整事项表!$E:$E,考核调整事项表!$G:$G,累计考核费用!$B71,考核调整事项表!$F:$F,累计考核费用!H$55)</f>
        <v>-462602.74</v>
      </c>
      <c r="I71" s="302">
        <f>SUMIFS(考核调整事项表!$C:$C,考核调整事项表!$G:$G,累计考核费用!$B71,考核调整事项表!$D:$D,累计考核费用!I$55)+SUMIFS(考核调整事项表!$E:$E,考核调整事项表!$G:$G,累计考核费用!$B71,考核调整事项表!$F:$F,累计考核费用!I$55)</f>
        <v>60000</v>
      </c>
      <c r="J71" s="302">
        <f>SUMIFS(考核调整事项表!$C:$C,考核调整事项表!$G:$G,累计考核费用!$B71,考核调整事项表!$D:$D,累计考核费用!J$55)+SUMIFS(考核调整事项表!$E:$E,考核调整事项表!$G:$G,累计考核费用!$B71,考核调整事项表!$F:$F,累计考核费用!J$55)</f>
        <v>212054.79</v>
      </c>
      <c r="K71" s="302">
        <f>SUMIFS(考核调整事项表!$C:$C,考核调整事项表!$G:$G,累计考核费用!$B71,考核调整事项表!$D:$D,累计考核费用!K$55)+SUMIFS(考核调整事项表!$E:$E,考核调整事项表!$G:$G,累计考核费用!$B71,考核调整事项表!$F:$F,累计考核费用!K$55)</f>
        <v>70399.55</v>
      </c>
      <c r="L71" s="302">
        <f t="shared" si="9"/>
        <v>120148.4</v>
      </c>
      <c r="M71" s="302">
        <f>SUMIFS(考核调整事项表!$C:$C,考核调整事项表!$G:$G,累计考核费用!$B71,考核调整事项表!$D:$D,累计考核费用!M$55)+SUMIFS(考核调整事项表!$E:$E,考核调整事项表!$G:$G,累计考核费用!$B71,考核调整事项表!$F:$F,累计考核费用!M$55)</f>
        <v>0</v>
      </c>
      <c r="N71" s="302">
        <f>SUMIFS(考核调整事项表!$C:$C,考核调整事项表!$G:$G,累计考核费用!$B71,考核调整事项表!$D:$D,累计考核费用!N$55)+SUMIFS(考核调整事项表!$E:$E,考核调整事项表!$G:$G,累计考核费用!$B71,考核调整事项表!$F:$F,累计考核费用!N$55)</f>
        <v>0</v>
      </c>
      <c r="O71" s="302">
        <f>SUMIFS(考核调整事项表!$C:$C,考核调整事项表!$G:$G,累计考核费用!$B71,考核调整事项表!$D:$D,累计考核费用!O$55)+SUMIFS(考核调整事项表!$E:$E,考核调整事项表!$G:$G,累计考核费用!$B71,考核调整事项表!$F:$F,累计考核费用!O$55)</f>
        <v>120148.4</v>
      </c>
      <c r="P71" s="302">
        <f>SUMIFS(考核调整事项表!$C:$C,考核调整事项表!$G:$G,累计考核费用!$B71,考核调整事项表!$D:$D,累计考核费用!P$55)+SUMIFS(考核调整事项表!$E:$E,考核调整事项表!$G:$G,累计考核费用!$B71,考核调整事项表!$F:$F,累计考核费用!P$55)</f>
        <v>0</v>
      </c>
      <c r="Q71" s="302">
        <f>SUMIFS(考核调整事项表!$C:$C,考核调整事项表!$G:$G,累计考核费用!$B71,考核调整事项表!$D:$D,累计考核费用!Q$55)+SUMIFS(考核调整事项表!$E:$E,考核调整事项表!$G:$G,累计考核费用!$B71,考核调整事项表!$F:$F,累计考核费用!Q$55)</f>
        <v>0</v>
      </c>
      <c r="R71" s="302">
        <f>SUMIFS(考核调整事项表!$C:$C,考核调整事项表!$G:$G,累计考核费用!$B71,考核调整事项表!$D:$D,累计考核费用!R$55)+SUMIFS(考核调整事项表!$E:$E,考核调整事项表!$G:$G,累计考核费用!$B71,考核调整事项表!$F:$F,累计考核费用!R$55)</f>
        <v>0</v>
      </c>
      <c r="S71" s="302">
        <f>SUMIFS(考核调整事项表!$C:$C,考核调整事项表!$G:$G,累计考核费用!$B71,考核调整事项表!$D:$D,累计考核费用!S$55)+SUMIFS(考核调整事项表!$E:$E,考核调整事项表!$G:$G,累计考核费用!$B71,考核调整事项表!$F:$F,累计考核费用!S$55)</f>
        <v>0</v>
      </c>
      <c r="T71" s="305">
        <f t="shared" si="10"/>
        <v>0</v>
      </c>
      <c r="U71" s="302">
        <f>SUMIFS(考核调整事项表!$C:$C,考核调整事项表!$G:$G,累计考核费用!$B71,考核调整事项表!$D:$D,累计考核费用!U$55)+SUMIFS(考核调整事项表!$E:$E,考核调整事项表!$G:$G,累计考核费用!$B71,考核调整事项表!$F:$F,累计考核费用!U$55)</f>
        <v>0</v>
      </c>
      <c r="V71" s="302">
        <f>SUMIFS(考核调整事项表!$C:$C,考核调整事项表!$G:$G,累计考核费用!$B71,考核调整事项表!$D:$D,累计考核费用!V$55)+SUMIFS(考核调整事项表!$E:$E,考核调整事项表!$G:$G,累计考核费用!$B71,考核调整事项表!$F:$F,累计考核费用!V$55)</f>
        <v>0</v>
      </c>
      <c r="W71" s="302">
        <f>SUMIFS(考核调整事项表!$C:$C,考核调整事项表!$G:$G,累计考核费用!$B71,考核调整事项表!$D:$D,累计考核费用!W$55)+SUMIFS(考核调整事项表!$E:$E,考核调整事项表!$G:$G,累计考核费用!$B71,考核调整事项表!$F:$F,累计考核费用!W$55)</f>
        <v>0</v>
      </c>
      <c r="X71" s="302">
        <f>SUMIFS(考核调整事项表!$C:$C,考核调整事项表!$G:$G,累计考核费用!$B71,考核调整事项表!$D:$D,累计考核费用!X$55)+SUMIFS(考核调整事项表!$E:$E,考核调整事项表!$G:$G,累计考核费用!$B71,考核调整事项表!$F:$F,累计考核费用!X$55)</f>
        <v>0</v>
      </c>
      <c r="Y71" s="302">
        <f>SUMIFS(考核调整事项表!$C:$C,考核调整事项表!$G:$G,累计考核费用!$B71,考核调整事项表!$D:$D,累计考核费用!Y$55)+SUMIFS(考核调整事项表!$E:$E,考核调整事项表!$G:$G,累计考核费用!$B71,考核调整事项表!$F:$F,累计考核费用!Y$55)</f>
        <v>0</v>
      </c>
      <c r="Z71" s="302">
        <f>SUMIFS(考核调整事项表!$C:$C,考核调整事项表!$G:$G,累计考核费用!$B71,考核调整事项表!$D:$D,累计考核费用!Z$55)+SUMIFS(考核调整事项表!$E:$E,考核调整事项表!$G:$G,累计考核费用!$B71,考核调整事项表!$F:$F,累计考核费用!Z$55)</f>
        <v>0</v>
      </c>
      <c r="AA71" s="302">
        <f>SUMIFS(考核调整事项表!$C:$C,考核调整事项表!$G:$G,累计考核费用!$B71,考核调整事项表!$D:$D,累计考核费用!AA$55)+SUMIFS(考核调整事项表!$E:$E,考核调整事项表!$G:$G,累计考核费用!$B71,考核调整事项表!$F:$F,累计考核费用!AA$55)</f>
        <v>0</v>
      </c>
      <c r="AB71" s="302">
        <f>SUMIFS(考核调整事项表!$C:$C,考核调整事项表!$G:$G,累计考核费用!$B71,考核调整事项表!$D:$D,累计考核费用!AB$55)+SUMIFS(考核调整事项表!$E:$E,考核调整事项表!$G:$G,累计考核费用!$B71,考核调整事项表!$F:$F,累计考核费用!AB$55)</f>
        <v>0</v>
      </c>
      <c r="AC71" s="302">
        <f>SUMIFS(考核调整事项表!$C:$C,考核调整事项表!$G:$G,累计考核费用!$B71,考核调整事项表!$D:$D,累计考核费用!AC$55)+SUMIFS(考核调整事项表!$E:$E,考核调整事项表!$G:$G,累计考核费用!$B71,考核调整事项表!$F:$F,累计考核费用!AC$55)</f>
        <v>0</v>
      </c>
    </row>
    <row r="72" spans="1:29">
      <c r="A72" s="17"/>
      <c r="B72" s="69" t="s">
        <v>102</v>
      </c>
      <c r="C72" s="306">
        <f t="shared" si="7"/>
        <v>0</v>
      </c>
      <c r="D72" s="306">
        <f t="shared" ref="D72:AC72" si="12">SUM(D67:D71)</f>
        <v>21797438.0590505</v>
      </c>
      <c r="E72" s="306">
        <f t="shared" si="12"/>
        <v>45356.5300000001</v>
      </c>
      <c r="F72" s="306">
        <f t="shared" si="12"/>
        <v>-4949749.57207547</v>
      </c>
      <c r="G72" s="306">
        <f t="shared" si="12"/>
        <v>2768734.96</v>
      </c>
      <c r="H72" s="306">
        <f t="shared" si="12"/>
        <v>267562.25</v>
      </c>
      <c r="I72" s="306">
        <f t="shared" si="12"/>
        <v>-40723.69</v>
      </c>
      <c r="J72" s="306">
        <f t="shared" si="12"/>
        <v>1939389.11</v>
      </c>
      <c r="K72" s="306">
        <f t="shared" si="12"/>
        <v>870069.54</v>
      </c>
      <c r="L72" s="306">
        <f t="shared" si="12"/>
        <v>-946291.746975</v>
      </c>
      <c r="M72" s="306">
        <f t="shared" si="12"/>
        <v>-108498.04</v>
      </c>
      <c r="N72" s="306">
        <f t="shared" si="12"/>
        <v>-62124.12</v>
      </c>
      <c r="O72" s="306">
        <f t="shared" si="12"/>
        <v>121091.28</v>
      </c>
      <c r="P72" s="306">
        <f t="shared" si="12"/>
        <v>19837.57</v>
      </c>
      <c r="Q72" s="306">
        <f t="shared" si="12"/>
        <v>-1170756.67</v>
      </c>
      <c r="R72" s="306">
        <f t="shared" si="12"/>
        <v>254158.233025</v>
      </c>
      <c r="S72" s="306">
        <f t="shared" si="12"/>
        <v>0</v>
      </c>
      <c r="T72" s="306">
        <f t="shared" si="12"/>
        <v>-18715488.23</v>
      </c>
      <c r="U72" s="306">
        <f t="shared" si="12"/>
        <v>-113516.36</v>
      </c>
      <c r="V72" s="306">
        <f t="shared" si="12"/>
        <v>-16841195.79</v>
      </c>
      <c r="W72" s="306">
        <f t="shared" si="12"/>
        <v>-1750452.66</v>
      </c>
      <c r="X72" s="306">
        <f t="shared" si="12"/>
        <v>-10323.42</v>
      </c>
      <c r="Y72" s="306">
        <f t="shared" si="12"/>
        <v>0</v>
      </c>
      <c r="Z72" s="306">
        <f t="shared" si="12"/>
        <v>0</v>
      </c>
      <c r="AA72" s="306">
        <f t="shared" si="12"/>
        <v>0</v>
      </c>
      <c r="AB72" s="306">
        <f t="shared" si="12"/>
        <v>-9905.66</v>
      </c>
      <c r="AC72" s="306">
        <f t="shared" si="12"/>
        <v>0</v>
      </c>
    </row>
    <row r="73" customHeight="1" spans="1:29">
      <c r="A73" s="18" t="s">
        <v>109</v>
      </c>
      <c r="B73" s="57" t="s">
        <v>110</v>
      </c>
      <c r="C73" s="11">
        <f t="shared" si="7"/>
        <v>0</v>
      </c>
      <c r="D73" s="302">
        <f>SUMIFS(考核调整事项表!$C:$C,考核调整事项表!$G:$G,累计考核费用!$B73,考核调整事项表!$D:$D,累计考核费用!D$55)+SUMIFS(考核调整事项表!$E:$E,考核调整事项表!$G:$G,累计考核费用!$B73,考核调整事项表!$F:$F,累计考核费用!D$55)</f>
        <v>5182</v>
      </c>
      <c r="E73" s="302">
        <f>SUMIFS(考核调整事项表!$C:$C,考核调整事项表!$G:$G,累计考核费用!$B73,考核调整事项表!$D:$D,累计考核费用!E$55)+SUMIFS(考核调整事项表!$E:$E,考核调整事项表!$G:$G,累计考核费用!$B73,考核调整事项表!$F:$F,累计考核费用!E$55)+H73+S73+AB73+AC73</f>
        <v>-784190.48</v>
      </c>
      <c r="F73" s="302">
        <f>SUMIFS(考核调整事项表!$C:$C,考核调整事项表!$G:$G,累计考核费用!$B73,考核调整事项表!$D:$D,累计考核费用!F$55)+SUMIFS(考核调整事项表!$E:$E,考核调整事项表!$G:$G,累计考核费用!$B73,考核调整事项表!$F:$F,累计考核费用!F$55)</f>
        <v>-531830.52</v>
      </c>
      <c r="G73" s="302">
        <f t="shared" si="8"/>
        <v>21615.5</v>
      </c>
      <c r="H73" s="302">
        <f>SUMIFS(考核调整事项表!$C:$C,考核调整事项表!$G:$G,累计考核费用!$B73,考核调整事项表!$D:$D,累计考核费用!H$55)+SUMIFS(考核调整事项表!$E:$E,考核调整事项表!$G:$G,累计考核费用!$B73,考核调整事项表!$F:$F,累计考核费用!H$55)</f>
        <v>53230</v>
      </c>
      <c r="I73" s="302">
        <f>SUMIFS(考核调整事项表!$C:$C,考核调整事项表!$G:$G,累计考核费用!$B73,考核调整事项表!$D:$D,累计考核费用!I$55)+SUMIFS(考核调整事项表!$E:$E,考核调整事项表!$G:$G,累计考核费用!$B73,考核调整事项表!$F:$F,累计考核费用!I$55)</f>
        <v>24700</v>
      </c>
      <c r="J73" s="302">
        <f>SUMIFS(考核调整事项表!$C:$C,考核调整事项表!$G:$G,累计考核费用!$B73,考核调整事项表!$D:$D,累计考核费用!J$55)+SUMIFS(考核调整事项表!$E:$E,考核调整事项表!$G:$G,累计考核费用!$B73,考核调整事项表!$F:$F,累计考核费用!J$55)</f>
        <v>2097.5</v>
      </c>
      <c r="K73" s="302">
        <f>SUMIFS(考核调整事项表!$C:$C,考核调整事项表!$G:$G,累计考核费用!$B73,考核调整事项表!$D:$D,累计考核费用!K$55)+SUMIFS(考核调整事项表!$E:$E,考核调整事项表!$G:$G,累计考核费用!$B73,考核调整事项表!$F:$F,累计考核费用!K$55)</f>
        <v>-5182</v>
      </c>
      <c r="L73" s="302">
        <f t="shared" si="9"/>
        <v>57313.5</v>
      </c>
      <c r="M73" s="302">
        <f>SUMIFS(考核调整事项表!$C:$C,考核调整事项表!$G:$G,累计考核费用!$B73,考核调整事项表!$D:$D,累计考核费用!M$55)+SUMIFS(考核调整事项表!$E:$E,考核调整事项表!$G:$G,累计考核费用!$B73,考核调整事项表!$F:$F,累计考核费用!M$55)</f>
        <v>2097.5</v>
      </c>
      <c r="N73" s="302">
        <f>SUMIFS(考核调整事项表!$C:$C,考核调整事项表!$G:$G,累计考核费用!$B73,考核调整事项表!$D:$D,累计考核费用!N$55)+SUMIFS(考核调整事项表!$E:$E,考核调整事项表!$G:$G,累计考核费用!$B73,考核调整事项表!$F:$F,累计考核费用!N$55)</f>
        <v>7872.5</v>
      </c>
      <c r="O73" s="302">
        <f>SUMIFS(考核调整事项表!$C:$C,考核调整事项表!$G:$G,累计考核费用!$B73,考核调整事项表!$D:$D,累计考核费用!O$55)+SUMIFS(考核调整事项表!$E:$E,考核调整事项表!$G:$G,累计考核费用!$B73,考核调整事项表!$F:$F,累计考核费用!O$55)</f>
        <v>2097.5</v>
      </c>
      <c r="P73" s="302">
        <f>SUMIFS(考核调整事项表!$C:$C,考核调整事项表!$G:$G,累计考核费用!$B73,考核调整事项表!$D:$D,累计考核费用!P$55)+SUMIFS(考核调整事项表!$E:$E,考核调整事项表!$G:$G,累计考核费用!$B73,考核调整事项表!$F:$F,累计考核费用!P$55)</f>
        <v>14212</v>
      </c>
      <c r="Q73" s="302">
        <f>SUMIFS(考核调整事项表!$C:$C,考核调整事项表!$G:$G,累计考核费用!$B73,考核调整事项表!$D:$D,累计考核费用!Q$55)+SUMIFS(考核调整事项表!$E:$E,考核调整事项表!$G:$G,累计考核费用!$B73,考核调整事项表!$F:$F,累计考核费用!Q$55)</f>
        <v>2328</v>
      </c>
      <c r="R73" s="302">
        <f>SUMIFS(考核调整事项表!$C:$C,考核调整事项表!$G:$G,累计考核费用!$B73,考核调整事项表!$D:$D,累计考核费用!R$55)+SUMIFS(考核调整事项表!$E:$E,考核调整事项表!$G:$G,累计考核费用!$B73,考核调整事项表!$F:$F,累计考核费用!R$55)</f>
        <v>28706</v>
      </c>
      <c r="S73" s="302">
        <f>SUMIFS(考核调整事项表!$C:$C,考核调整事项表!$G:$G,累计考核费用!$B73,考核调整事项表!$D:$D,累计考核费用!S$55)+SUMIFS(考核调整事项表!$E:$E,考核调整事项表!$G:$G,累计考核费用!$B73,考核调整事项表!$F:$F,累计考核费用!S$55)</f>
        <v>0</v>
      </c>
      <c r="T73" s="305">
        <f>SUM(U73:AA73)</f>
        <v>1231910</v>
      </c>
      <c r="U73" s="302">
        <f>SUMIFS(考核调整事项表!$C:$C,考核调整事项表!$G:$G,累计考核费用!$B73,考核调整事项表!$D:$D,累计考核费用!U$55)+SUMIFS(考核调整事项表!$E:$E,考核调整事项表!$G:$G,累计考核费用!$B73,考核调整事项表!$F:$F,累计考核费用!U$55)</f>
        <v>154360</v>
      </c>
      <c r="V73" s="302">
        <f>SUMIFS(考核调整事项表!$C:$C,考核调整事项表!$G:$G,累计考核费用!$B73,考核调整事项表!$D:$D,累计考核费用!V$55)+SUMIFS(考核调整事项表!$E:$E,考核调整事项表!$G:$G,累计考核费用!$B73,考核调整事项表!$F:$F,累计考核费用!V$55)</f>
        <v>931112</v>
      </c>
      <c r="W73" s="302">
        <f>SUMIFS(考核调整事项表!$C:$C,考核调整事项表!$G:$G,累计考核费用!$B73,考核调整事项表!$D:$D,累计考核费用!W$55)+SUMIFS(考核调整事项表!$E:$E,考核调整事项表!$G:$G,累计考核费用!$B73,考核调整事项表!$F:$F,累计考核费用!W$55)</f>
        <v>91292.33</v>
      </c>
      <c r="X73" s="302">
        <f>SUMIFS(考核调整事项表!$C:$C,考核调整事项表!$G:$G,累计考核费用!$B73,考核调整事项表!$D:$D,累计考核费用!X$55)+SUMIFS(考核调整事项表!$E:$E,考核调整事项表!$G:$G,累计考核费用!$B73,考核调整事项表!$F:$F,累计考核费用!X$55)</f>
        <v>0</v>
      </c>
      <c r="Y73" s="302">
        <f>SUMIFS(考核调整事项表!$C:$C,考核调整事项表!$G:$G,累计考核费用!$B73,考核调整事项表!$D:$D,累计考核费用!Y$55)+SUMIFS(考核调整事项表!$E:$E,考核调整事项表!$G:$G,累计考核费用!$B73,考核调整事项表!$F:$F,累计考核费用!Y$55)</f>
        <v>0</v>
      </c>
      <c r="Z73" s="302">
        <f>SUMIFS(考核调整事项表!$C:$C,考核调整事项表!$G:$G,累计考核费用!$B73,考核调整事项表!$D:$D,累计考核费用!Z$55)+SUMIFS(考核调整事项表!$E:$E,考核调整事项表!$G:$G,累计考核费用!$B73,考核调整事项表!$F:$F,累计考核费用!Z$55)</f>
        <v>0</v>
      </c>
      <c r="AA73" s="302">
        <f>SUMIFS(考核调整事项表!$C:$C,考核调整事项表!$G:$G,累计考核费用!$B73,考核调整事项表!$D:$D,累计考核费用!AA$55)+SUMIFS(考核调整事项表!$E:$E,考核调整事项表!$G:$G,累计考核费用!$B73,考核调整事项表!$F:$F,累计考核费用!AA$55)</f>
        <v>55145.67</v>
      </c>
      <c r="AB73" s="302">
        <f>SUMIFS(考核调整事项表!$C:$C,考核调整事项表!$G:$G,累计考核费用!$B73,考核调整事项表!$D:$D,累计考核费用!AB$55)+SUMIFS(考核调整事项表!$E:$E,考核调整事项表!$G:$G,累计考核费用!$B73,考核调整事项表!$F:$F,累计考核费用!AB$55)</f>
        <v>0</v>
      </c>
      <c r="AC73" s="302">
        <f>SUMIFS(考核调整事项表!$C:$C,考核调整事项表!$G:$G,累计考核费用!$B73,考核调整事项表!$D:$D,累计考核费用!AC$55)+SUMIFS(考核调整事项表!$E:$E,考核调整事项表!$G:$G,累计考核费用!$B73,考核调整事项表!$F:$F,累计考核费用!AC$55)</f>
        <v>0</v>
      </c>
    </row>
    <row r="74" spans="1:29">
      <c r="A74" s="19"/>
      <c r="B74" s="57" t="s">
        <v>111</v>
      </c>
      <c r="C74" s="11">
        <f t="shared" si="7"/>
        <v>0</v>
      </c>
      <c r="D74" s="302">
        <f>SUMIFS(考核调整事项表!$C:$C,考核调整事项表!$G:$G,累计考核费用!$B74,考核调整事项表!$D:$D,累计考核费用!D$55)+SUMIFS(考核调整事项表!$E:$E,考核调整事项表!$G:$G,累计考核费用!$B74,考核调整事项表!$F:$F,累计考核费用!D$55)</f>
        <v>50672</v>
      </c>
      <c r="E74" s="302">
        <f>SUMIFS(考核调整事项表!$C:$C,考核调整事项表!$G:$G,累计考核费用!$B74,考核调整事项表!$D:$D,累计考核费用!E$55)+SUMIFS(考核调整事项表!$E:$E,考核调整事项表!$G:$G,累计考核费用!$B74,考核调整事项表!$F:$F,累计考核费用!E$55)+H74+S74+AB74+AC74</f>
        <v>0</v>
      </c>
      <c r="F74" s="302">
        <f>SUMIFS(考核调整事项表!$C:$C,考核调整事项表!$G:$G,累计考核费用!$B74,考核调整事项表!$D:$D,累计考核费用!F$55)+SUMIFS(考核调整事项表!$E:$E,考核调整事项表!$G:$G,累计考核费用!$B74,考核调整事项表!$F:$F,累计考核费用!F$55)</f>
        <v>0</v>
      </c>
      <c r="G74" s="302">
        <f t="shared" si="8"/>
        <v>-50672</v>
      </c>
      <c r="H74" s="302">
        <f>SUMIFS(考核调整事项表!$C:$C,考核调整事项表!$G:$G,累计考核费用!$B74,考核调整事项表!$D:$D,累计考核费用!H$55)+SUMIFS(考核调整事项表!$E:$E,考核调整事项表!$G:$G,累计考核费用!$B74,考核调整事项表!$F:$F,累计考核费用!H$55)</f>
        <v>0</v>
      </c>
      <c r="I74" s="302">
        <f>SUMIFS(考核调整事项表!$C:$C,考核调整事项表!$G:$G,累计考核费用!$B74,考核调整事项表!$D:$D,累计考核费用!I$55)+SUMIFS(考核调整事项表!$E:$E,考核调整事项表!$G:$G,累计考核费用!$B74,考核调整事项表!$F:$F,累计考核费用!I$55)</f>
        <v>0</v>
      </c>
      <c r="J74" s="302">
        <f>SUMIFS(考核调整事项表!$C:$C,考核调整事项表!$G:$G,累计考核费用!$B74,考核调整事项表!$D:$D,累计考核费用!J$55)+SUMIFS(考核调整事项表!$E:$E,考核调整事项表!$G:$G,累计考核费用!$B74,考核调整事项表!$F:$F,累计考核费用!J$55)</f>
        <v>0</v>
      </c>
      <c r="K74" s="302">
        <f>SUMIFS(考核调整事项表!$C:$C,考核调整事项表!$G:$G,累计考核费用!$B74,考核调整事项表!$D:$D,累计考核费用!K$55)+SUMIFS(考核调整事项表!$E:$E,考核调整事项表!$G:$G,累计考核费用!$B74,考核调整事项表!$F:$F,累计考核费用!K$55)</f>
        <v>-50672</v>
      </c>
      <c r="L74" s="302">
        <f t="shared" si="9"/>
        <v>0</v>
      </c>
      <c r="M74" s="302">
        <f>SUMIFS(考核调整事项表!$C:$C,考核调整事项表!$G:$G,累计考核费用!$B74,考核调整事项表!$D:$D,累计考核费用!M$55)+SUMIFS(考核调整事项表!$E:$E,考核调整事项表!$G:$G,累计考核费用!$B74,考核调整事项表!$F:$F,累计考核费用!M$55)</f>
        <v>0</v>
      </c>
      <c r="N74" s="302">
        <f>SUMIFS(考核调整事项表!$C:$C,考核调整事项表!$G:$G,累计考核费用!$B74,考核调整事项表!$D:$D,累计考核费用!N$55)+SUMIFS(考核调整事项表!$E:$E,考核调整事项表!$G:$G,累计考核费用!$B74,考核调整事项表!$F:$F,累计考核费用!N$55)</f>
        <v>0</v>
      </c>
      <c r="O74" s="302">
        <f>SUMIFS(考核调整事项表!$C:$C,考核调整事项表!$G:$G,累计考核费用!$B74,考核调整事项表!$D:$D,累计考核费用!O$55)+SUMIFS(考核调整事项表!$E:$E,考核调整事项表!$G:$G,累计考核费用!$B74,考核调整事项表!$F:$F,累计考核费用!O$55)</f>
        <v>0</v>
      </c>
      <c r="P74" s="302">
        <f>SUMIFS(考核调整事项表!$C:$C,考核调整事项表!$G:$G,累计考核费用!$B74,考核调整事项表!$D:$D,累计考核费用!P$55)+SUMIFS(考核调整事项表!$E:$E,考核调整事项表!$G:$G,累计考核费用!$B74,考核调整事项表!$F:$F,累计考核费用!P$55)</f>
        <v>0</v>
      </c>
      <c r="Q74" s="302">
        <f>SUMIFS(考核调整事项表!$C:$C,考核调整事项表!$G:$G,累计考核费用!$B74,考核调整事项表!$D:$D,累计考核费用!Q$55)+SUMIFS(考核调整事项表!$E:$E,考核调整事项表!$G:$G,累计考核费用!$B74,考核调整事项表!$F:$F,累计考核费用!Q$55)</f>
        <v>0</v>
      </c>
      <c r="R74" s="302">
        <f>SUMIFS(考核调整事项表!$C:$C,考核调整事项表!$G:$G,累计考核费用!$B74,考核调整事项表!$D:$D,累计考核费用!R$55)+SUMIFS(考核调整事项表!$E:$E,考核调整事项表!$G:$G,累计考核费用!$B74,考核调整事项表!$F:$F,累计考核费用!R$55)</f>
        <v>0</v>
      </c>
      <c r="S74" s="302">
        <f>SUMIFS(考核调整事项表!$C:$C,考核调整事项表!$G:$G,累计考核费用!$B74,考核调整事项表!$D:$D,累计考核费用!S$55)+SUMIFS(考核调整事项表!$E:$E,考核调整事项表!$G:$G,累计考核费用!$B74,考核调整事项表!$F:$F,累计考核费用!S$55)</f>
        <v>0</v>
      </c>
      <c r="T74" s="305">
        <f>SUM(U74:AA74)</f>
        <v>0</v>
      </c>
      <c r="U74" s="302">
        <f>SUMIFS(考核调整事项表!$C:$C,考核调整事项表!$G:$G,累计考核费用!$B74,考核调整事项表!$D:$D,累计考核费用!U$55)+SUMIFS(考核调整事项表!$E:$E,考核调整事项表!$G:$G,累计考核费用!$B74,考核调整事项表!$F:$F,累计考核费用!U$55)</f>
        <v>0</v>
      </c>
      <c r="V74" s="302">
        <f>SUMIFS(考核调整事项表!$C:$C,考核调整事项表!$G:$G,累计考核费用!$B74,考核调整事项表!$D:$D,累计考核费用!V$55)+SUMIFS(考核调整事项表!$E:$E,考核调整事项表!$G:$G,累计考核费用!$B74,考核调整事项表!$F:$F,累计考核费用!V$55)</f>
        <v>0</v>
      </c>
      <c r="W74" s="302">
        <f>SUMIFS(考核调整事项表!$C:$C,考核调整事项表!$G:$G,累计考核费用!$B74,考核调整事项表!$D:$D,累计考核费用!W$55)+SUMIFS(考核调整事项表!$E:$E,考核调整事项表!$G:$G,累计考核费用!$B74,考核调整事项表!$F:$F,累计考核费用!W$55)</f>
        <v>-109197.48</v>
      </c>
      <c r="X74" s="302">
        <f>SUMIFS(考核调整事项表!$C:$C,考核调整事项表!$G:$G,累计考核费用!$B74,考核调整事项表!$D:$D,累计考核费用!X$55)+SUMIFS(考核调整事项表!$E:$E,考核调整事项表!$G:$G,累计考核费用!$B74,考核调整事项表!$F:$F,累计考核费用!X$55)</f>
        <v>0</v>
      </c>
      <c r="Y74" s="302">
        <f>SUMIFS(考核调整事项表!$C:$C,考核调整事项表!$G:$G,累计考核费用!$B74,考核调整事项表!$D:$D,累计考核费用!Y$55)+SUMIFS(考核调整事项表!$E:$E,考核调整事项表!$G:$G,累计考核费用!$B74,考核调整事项表!$F:$F,累计考核费用!Y$55)</f>
        <v>0</v>
      </c>
      <c r="Z74" s="302">
        <f>SUMIFS(考核调整事项表!$C:$C,考核调整事项表!$G:$G,累计考核费用!$B74,考核调整事项表!$D:$D,累计考核费用!Z$55)+SUMIFS(考核调整事项表!$E:$E,考核调整事项表!$G:$G,累计考核费用!$B74,考核调整事项表!$F:$F,累计考核费用!Z$55)</f>
        <v>0</v>
      </c>
      <c r="AA74" s="302">
        <f>SUMIFS(考核调整事项表!$C:$C,考核调整事项表!$G:$G,累计考核费用!$B74,考核调整事项表!$D:$D,累计考核费用!AA$55)+SUMIFS(考核调整事项表!$E:$E,考核调整事项表!$G:$G,累计考核费用!$B74,考核调整事项表!$F:$F,累计考核费用!AA$55)</f>
        <v>109197.48</v>
      </c>
      <c r="AB74" s="302">
        <f>SUMIFS(考核调整事项表!$C:$C,考核调整事项表!$G:$G,累计考核费用!$B74,考核调整事项表!$D:$D,累计考核费用!AB$55)+SUMIFS(考核调整事项表!$E:$E,考核调整事项表!$G:$G,累计考核费用!$B74,考核调整事项表!$F:$F,累计考核费用!AB$55)</f>
        <v>0</v>
      </c>
      <c r="AC74" s="302">
        <f>SUMIFS(考核调整事项表!$C:$C,考核调整事项表!$G:$G,累计考核费用!$B74,考核调整事项表!$D:$D,累计考核费用!AC$55)+SUMIFS(考核调整事项表!$E:$E,考核调整事项表!$G:$G,累计考核费用!$B74,考核调整事项表!$F:$F,累计考核费用!AC$55)</f>
        <v>0</v>
      </c>
    </row>
    <row r="75" spans="1:29">
      <c r="A75" s="19"/>
      <c r="B75" s="57" t="s">
        <v>112</v>
      </c>
      <c r="C75" s="11">
        <f t="shared" si="7"/>
        <v>0</v>
      </c>
      <c r="D75" s="302">
        <f>SUMIFS(考核调整事项表!$C:$C,考核调整事项表!$G:$G,累计考核费用!$B75,考核调整事项表!$D:$D,累计考核费用!D$55)+SUMIFS(考核调整事项表!$E:$E,考核调整事项表!$G:$G,累计考核费用!$B75,考核调整事项表!$F:$F,累计考核费用!D$55)</f>
        <v>0</v>
      </c>
      <c r="E75" s="302">
        <f>SUMIFS(考核调整事项表!$C:$C,考核调整事项表!$G:$G,累计考核费用!$B75,考核调整事项表!$D:$D,累计考核费用!E$55)+SUMIFS(考核调整事项表!$E:$E,考核调整事项表!$G:$G,累计考核费用!$B75,考核调整事项表!$F:$F,累计考核费用!E$55)+H75+S75+AB75+AC75</f>
        <v>0</v>
      </c>
      <c r="F75" s="302">
        <f>SUMIFS(考核调整事项表!$C:$C,考核调整事项表!$G:$G,累计考核费用!$B75,考核调整事项表!$D:$D,累计考核费用!F$55)+SUMIFS(考核调整事项表!$E:$E,考核调整事项表!$G:$G,累计考核费用!$B75,考核调整事项表!$F:$F,累计考核费用!F$55)</f>
        <v>0</v>
      </c>
      <c r="G75" s="302">
        <f t="shared" si="8"/>
        <v>0</v>
      </c>
      <c r="H75" s="302">
        <f>SUMIFS(考核调整事项表!$C:$C,考核调整事项表!$G:$G,累计考核费用!$B75,考核调整事项表!$D:$D,累计考核费用!H$55)+SUMIFS(考核调整事项表!$E:$E,考核调整事项表!$G:$G,累计考核费用!$B75,考核调整事项表!$F:$F,累计考核费用!H$55)</f>
        <v>0</v>
      </c>
      <c r="I75" s="302">
        <f>SUMIFS(考核调整事项表!$C:$C,考核调整事项表!$G:$G,累计考核费用!$B75,考核调整事项表!$D:$D,累计考核费用!I$55)+SUMIFS(考核调整事项表!$E:$E,考核调整事项表!$G:$G,累计考核费用!$B75,考核调整事项表!$F:$F,累计考核费用!I$55)</f>
        <v>0</v>
      </c>
      <c r="J75" s="302">
        <f>SUMIFS(考核调整事项表!$C:$C,考核调整事项表!$G:$G,累计考核费用!$B75,考核调整事项表!$D:$D,累计考核费用!J$55)+SUMIFS(考核调整事项表!$E:$E,考核调整事项表!$G:$G,累计考核费用!$B75,考核调整事项表!$F:$F,累计考核费用!J$55)</f>
        <v>0</v>
      </c>
      <c r="K75" s="302">
        <f>SUMIFS(考核调整事项表!$C:$C,考核调整事项表!$G:$G,累计考核费用!$B75,考核调整事项表!$D:$D,累计考核费用!K$55)+SUMIFS(考核调整事项表!$E:$E,考核调整事项表!$G:$G,累计考核费用!$B75,考核调整事项表!$F:$F,累计考核费用!K$55)</f>
        <v>0</v>
      </c>
      <c r="L75" s="302">
        <f t="shared" si="9"/>
        <v>0</v>
      </c>
      <c r="M75" s="302">
        <f>SUMIFS(考核调整事项表!$C:$C,考核调整事项表!$G:$G,累计考核费用!$B75,考核调整事项表!$D:$D,累计考核费用!M$55)+SUMIFS(考核调整事项表!$E:$E,考核调整事项表!$G:$G,累计考核费用!$B75,考核调整事项表!$F:$F,累计考核费用!M$55)</f>
        <v>0</v>
      </c>
      <c r="N75" s="302">
        <f>SUMIFS(考核调整事项表!$C:$C,考核调整事项表!$G:$G,累计考核费用!$B75,考核调整事项表!$D:$D,累计考核费用!N$55)+SUMIFS(考核调整事项表!$E:$E,考核调整事项表!$G:$G,累计考核费用!$B75,考核调整事项表!$F:$F,累计考核费用!N$55)</f>
        <v>0</v>
      </c>
      <c r="O75" s="302">
        <f>SUMIFS(考核调整事项表!$C:$C,考核调整事项表!$G:$G,累计考核费用!$B75,考核调整事项表!$D:$D,累计考核费用!O$55)+SUMIFS(考核调整事项表!$E:$E,考核调整事项表!$G:$G,累计考核费用!$B75,考核调整事项表!$F:$F,累计考核费用!O$55)</f>
        <v>0</v>
      </c>
      <c r="P75" s="302">
        <f>SUMIFS(考核调整事项表!$C:$C,考核调整事项表!$G:$G,累计考核费用!$B75,考核调整事项表!$D:$D,累计考核费用!P$55)+SUMIFS(考核调整事项表!$E:$E,考核调整事项表!$G:$G,累计考核费用!$B75,考核调整事项表!$F:$F,累计考核费用!P$55)</f>
        <v>0</v>
      </c>
      <c r="Q75" s="302">
        <f>SUMIFS(考核调整事项表!$C:$C,考核调整事项表!$G:$G,累计考核费用!$B75,考核调整事项表!$D:$D,累计考核费用!Q$55)+SUMIFS(考核调整事项表!$E:$E,考核调整事项表!$G:$G,累计考核费用!$B75,考核调整事项表!$F:$F,累计考核费用!Q$55)</f>
        <v>0</v>
      </c>
      <c r="R75" s="302">
        <f>SUMIFS(考核调整事项表!$C:$C,考核调整事项表!$G:$G,累计考核费用!$B75,考核调整事项表!$D:$D,累计考核费用!R$55)+SUMIFS(考核调整事项表!$E:$E,考核调整事项表!$G:$G,累计考核费用!$B75,考核调整事项表!$F:$F,累计考核费用!R$55)</f>
        <v>0</v>
      </c>
      <c r="S75" s="302">
        <f>SUMIFS(考核调整事项表!$C:$C,考核调整事项表!$G:$G,累计考核费用!$B75,考核调整事项表!$D:$D,累计考核费用!S$55)+SUMIFS(考核调整事项表!$E:$E,考核调整事项表!$G:$G,累计考核费用!$B75,考核调整事项表!$F:$F,累计考核费用!S$55)</f>
        <v>0</v>
      </c>
      <c r="T75" s="305">
        <f t="shared" ref="T75:T85" si="13">SUM(U75:AA75)</f>
        <v>0</v>
      </c>
      <c r="U75" s="302">
        <f>SUMIFS(考核调整事项表!$C:$C,考核调整事项表!$G:$G,累计考核费用!$B75,考核调整事项表!$D:$D,累计考核费用!U$55)+SUMIFS(考核调整事项表!$E:$E,考核调整事项表!$G:$G,累计考核费用!$B75,考核调整事项表!$F:$F,累计考核费用!U$55)</f>
        <v>0</v>
      </c>
      <c r="V75" s="302">
        <f>SUMIFS(考核调整事项表!$C:$C,考核调整事项表!$G:$G,累计考核费用!$B75,考核调整事项表!$D:$D,累计考核费用!V$55)+SUMIFS(考核调整事项表!$E:$E,考核调整事项表!$G:$G,累计考核费用!$B75,考核调整事项表!$F:$F,累计考核费用!V$55)</f>
        <v>0</v>
      </c>
      <c r="W75" s="302">
        <f>SUMIFS(考核调整事项表!$C:$C,考核调整事项表!$G:$G,累计考核费用!$B75,考核调整事项表!$D:$D,累计考核费用!W$55)+SUMIFS(考核调整事项表!$E:$E,考核调整事项表!$G:$G,累计考核费用!$B75,考核调整事项表!$F:$F,累计考核费用!W$55)</f>
        <v>0</v>
      </c>
      <c r="X75" s="302">
        <f>SUMIFS(考核调整事项表!$C:$C,考核调整事项表!$G:$G,累计考核费用!$B75,考核调整事项表!$D:$D,累计考核费用!X$55)+SUMIFS(考核调整事项表!$E:$E,考核调整事项表!$G:$G,累计考核费用!$B75,考核调整事项表!$F:$F,累计考核费用!X$55)</f>
        <v>0</v>
      </c>
      <c r="Y75" s="302">
        <f>SUMIFS(考核调整事项表!$C:$C,考核调整事项表!$G:$G,累计考核费用!$B75,考核调整事项表!$D:$D,累计考核费用!Y$55)+SUMIFS(考核调整事项表!$E:$E,考核调整事项表!$G:$G,累计考核费用!$B75,考核调整事项表!$F:$F,累计考核费用!Y$55)</f>
        <v>0</v>
      </c>
      <c r="Z75" s="302">
        <f>SUMIFS(考核调整事项表!$C:$C,考核调整事项表!$G:$G,累计考核费用!$B75,考核调整事项表!$D:$D,累计考核费用!Z$55)+SUMIFS(考核调整事项表!$E:$E,考核调整事项表!$G:$G,累计考核费用!$B75,考核调整事项表!$F:$F,累计考核费用!Z$55)</f>
        <v>0</v>
      </c>
      <c r="AA75" s="302">
        <f>SUMIFS(考核调整事项表!$C:$C,考核调整事项表!$G:$G,累计考核费用!$B75,考核调整事项表!$D:$D,累计考核费用!AA$55)+SUMIFS(考核调整事项表!$E:$E,考核调整事项表!$G:$G,累计考核费用!$B75,考核调整事项表!$F:$F,累计考核费用!AA$55)</f>
        <v>0</v>
      </c>
      <c r="AB75" s="302">
        <f>SUMIFS(考核调整事项表!$C:$C,考核调整事项表!$G:$G,累计考核费用!$B75,考核调整事项表!$D:$D,累计考核费用!AB$55)+SUMIFS(考核调整事项表!$E:$E,考核调整事项表!$G:$G,累计考核费用!$B75,考核调整事项表!$F:$F,累计考核费用!AB$55)</f>
        <v>0</v>
      </c>
      <c r="AC75" s="302">
        <f>SUMIFS(考核调整事项表!$C:$C,考核调整事项表!$G:$G,累计考核费用!$B75,考核调整事项表!$D:$D,累计考核费用!AC$55)+SUMIFS(考核调整事项表!$E:$E,考核调整事项表!$G:$G,累计考核费用!$B75,考核调整事项表!$F:$F,累计考核费用!AC$55)</f>
        <v>0</v>
      </c>
    </row>
    <row r="76" spans="1:29">
      <c r="A76" s="19"/>
      <c r="B76" s="57" t="s">
        <v>113</v>
      </c>
      <c r="C76" s="11">
        <f t="shared" si="7"/>
        <v>0</v>
      </c>
      <c r="D76" s="302">
        <f>SUMIFS(考核调整事项表!$C:$C,考核调整事项表!$G:$G,累计考核费用!$B76,考核调整事项表!$D:$D,累计考核费用!D$55)+SUMIFS(考核调整事项表!$E:$E,考核调整事项表!$G:$G,累计考核费用!$B76,考核调整事项表!$F:$F,累计考核费用!D$55)</f>
        <v>0</v>
      </c>
      <c r="E76" s="302">
        <f>SUMIFS(考核调整事项表!$C:$C,考核调整事项表!$G:$G,累计考核费用!$B76,考核调整事项表!$D:$D,累计考核费用!E$55)+SUMIFS(考核调整事项表!$E:$E,考核调整事项表!$G:$G,累计考核费用!$B76,考核调整事项表!$F:$F,累计考核费用!E$55)+H76+S76+AB76+AC76</f>
        <v>0</v>
      </c>
      <c r="F76" s="302">
        <f>SUMIFS(考核调整事项表!$C:$C,考核调整事项表!$G:$G,累计考核费用!$B76,考核调整事项表!$D:$D,累计考核费用!F$55)+SUMIFS(考核调整事项表!$E:$E,考核调整事项表!$G:$G,累计考核费用!$B76,考核调整事项表!$F:$F,累计考核费用!F$55)</f>
        <v>0</v>
      </c>
      <c r="G76" s="302">
        <f t="shared" si="8"/>
        <v>0</v>
      </c>
      <c r="H76" s="302">
        <f>SUMIFS(考核调整事项表!$C:$C,考核调整事项表!$G:$G,累计考核费用!$B76,考核调整事项表!$D:$D,累计考核费用!H$55)+SUMIFS(考核调整事项表!$E:$E,考核调整事项表!$G:$G,累计考核费用!$B76,考核调整事项表!$F:$F,累计考核费用!H$55)</f>
        <v>0</v>
      </c>
      <c r="I76" s="302">
        <f>SUMIFS(考核调整事项表!$C:$C,考核调整事项表!$G:$G,累计考核费用!$B76,考核调整事项表!$D:$D,累计考核费用!I$55)+SUMIFS(考核调整事项表!$E:$E,考核调整事项表!$G:$G,累计考核费用!$B76,考核调整事项表!$F:$F,累计考核费用!I$55)</f>
        <v>0</v>
      </c>
      <c r="J76" s="302">
        <f>SUMIFS(考核调整事项表!$C:$C,考核调整事项表!$G:$G,累计考核费用!$B76,考核调整事项表!$D:$D,累计考核费用!J$55)+SUMIFS(考核调整事项表!$E:$E,考核调整事项表!$G:$G,累计考核费用!$B76,考核调整事项表!$F:$F,累计考核费用!J$55)</f>
        <v>0</v>
      </c>
      <c r="K76" s="302">
        <f>SUMIFS(考核调整事项表!$C:$C,考核调整事项表!$G:$G,累计考核费用!$B76,考核调整事项表!$D:$D,累计考核费用!K$55)+SUMIFS(考核调整事项表!$E:$E,考核调整事项表!$G:$G,累计考核费用!$B76,考核调整事项表!$F:$F,累计考核费用!K$55)</f>
        <v>0</v>
      </c>
      <c r="L76" s="302">
        <f t="shared" si="9"/>
        <v>0</v>
      </c>
      <c r="M76" s="302">
        <f>SUMIFS(考核调整事项表!$C:$C,考核调整事项表!$G:$G,累计考核费用!$B76,考核调整事项表!$D:$D,累计考核费用!M$55)+SUMIFS(考核调整事项表!$E:$E,考核调整事项表!$G:$G,累计考核费用!$B76,考核调整事项表!$F:$F,累计考核费用!M$55)</f>
        <v>0</v>
      </c>
      <c r="N76" s="302">
        <f>SUMIFS(考核调整事项表!$C:$C,考核调整事项表!$G:$G,累计考核费用!$B76,考核调整事项表!$D:$D,累计考核费用!N$55)+SUMIFS(考核调整事项表!$E:$E,考核调整事项表!$G:$G,累计考核费用!$B76,考核调整事项表!$F:$F,累计考核费用!N$55)</f>
        <v>0</v>
      </c>
      <c r="O76" s="302">
        <f>SUMIFS(考核调整事项表!$C:$C,考核调整事项表!$G:$G,累计考核费用!$B76,考核调整事项表!$D:$D,累计考核费用!O$55)+SUMIFS(考核调整事项表!$E:$E,考核调整事项表!$G:$G,累计考核费用!$B76,考核调整事项表!$F:$F,累计考核费用!O$55)</f>
        <v>0</v>
      </c>
      <c r="P76" s="302">
        <f>SUMIFS(考核调整事项表!$C:$C,考核调整事项表!$G:$G,累计考核费用!$B76,考核调整事项表!$D:$D,累计考核费用!P$55)+SUMIFS(考核调整事项表!$E:$E,考核调整事项表!$G:$G,累计考核费用!$B76,考核调整事项表!$F:$F,累计考核费用!P$55)</f>
        <v>0</v>
      </c>
      <c r="Q76" s="302">
        <f>SUMIFS(考核调整事项表!$C:$C,考核调整事项表!$G:$G,累计考核费用!$B76,考核调整事项表!$D:$D,累计考核费用!Q$55)+SUMIFS(考核调整事项表!$E:$E,考核调整事项表!$G:$G,累计考核费用!$B76,考核调整事项表!$F:$F,累计考核费用!Q$55)</f>
        <v>0</v>
      </c>
      <c r="R76" s="302">
        <f>SUMIFS(考核调整事项表!$C:$C,考核调整事项表!$G:$G,累计考核费用!$B76,考核调整事项表!$D:$D,累计考核费用!R$55)+SUMIFS(考核调整事项表!$E:$E,考核调整事项表!$G:$G,累计考核费用!$B76,考核调整事项表!$F:$F,累计考核费用!R$55)</f>
        <v>0</v>
      </c>
      <c r="S76" s="302">
        <f>SUMIFS(考核调整事项表!$C:$C,考核调整事项表!$G:$G,累计考核费用!$B76,考核调整事项表!$D:$D,累计考核费用!S$55)+SUMIFS(考核调整事项表!$E:$E,考核调整事项表!$G:$G,累计考核费用!$B76,考核调整事项表!$F:$F,累计考核费用!S$55)</f>
        <v>0</v>
      </c>
      <c r="T76" s="305">
        <f t="shared" si="13"/>
        <v>0</v>
      </c>
      <c r="U76" s="302">
        <f>SUMIFS(考核调整事项表!$C:$C,考核调整事项表!$G:$G,累计考核费用!$B76,考核调整事项表!$D:$D,累计考核费用!U$55)+SUMIFS(考核调整事项表!$E:$E,考核调整事项表!$G:$G,累计考核费用!$B76,考核调整事项表!$F:$F,累计考核费用!U$55)</f>
        <v>0</v>
      </c>
      <c r="V76" s="302">
        <f>SUMIFS(考核调整事项表!$C:$C,考核调整事项表!$G:$G,累计考核费用!$B76,考核调整事项表!$D:$D,累计考核费用!V$55)+SUMIFS(考核调整事项表!$E:$E,考核调整事项表!$G:$G,累计考核费用!$B76,考核调整事项表!$F:$F,累计考核费用!V$55)</f>
        <v>0</v>
      </c>
      <c r="W76" s="302">
        <f>SUMIFS(考核调整事项表!$C:$C,考核调整事项表!$G:$G,累计考核费用!$B76,考核调整事项表!$D:$D,累计考核费用!W$55)+SUMIFS(考核调整事项表!$E:$E,考核调整事项表!$G:$G,累计考核费用!$B76,考核调整事项表!$F:$F,累计考核费用!W$55)</f>
        <v>0</v>
      </c>
      <c r="X76" s="302">
        <f>SUMIFS(考核调整事项表!$C:$C,考核调整事项表!$G:$G,累计考核费用!$B76,考核调整事项表!$D:$D,累计考核费用!X$55)+SUMIFS(考核调整事项表!$E:$E,考核调整事项表!$G:$G,累计考核费用!$B76,考核调整事项表!$F:$F,累计考核费用!X$55)</f>
        <v>0</v>
      </c>
      <c r="Y76" s="302">
        <f>SUMIFS(考核调整事项表!$C:$C,考核调整事项表!$G:$G,累计考核费用!$B76,考核调整事项表!$D:$D,累计考核费用!Y$55)+SUMIFS(考核调整事项表!$E:$E,考核调整事项表!$G:$G,累计考核费用!$B76,考核调整事项表!$F:$F,累计考核费用!Y$55)</f>
        <v>0</v>
      </c>
      <c r="Z76" s="302">
        <f>SUMIFS(考核调整事项表!$C:$C,考核调整事项表!$G:$G,累计考核费用!$B76,考核调整事项表!$D:$D,累计考核费用!Z$55)+SUMIFS(考核调整事项表!$E:$E,考核调整事项表!$G:$G,累计考核费用!$B76,考核调整事项表!$F:$F,累计考核费用!Z$55)</f>
        <v>0</v>
      </c>
      <c r="AA76" s="302">
        <f>SUMIFS(考核调整事项表!$C:$C,考核调整事项表!$G:$G,累计考核费用!$B76,考核调整事项表!$D:$D,累计考核费用!AA$55)+SUMIFS(考核调整事项表!$E:$E,考核调整事项表!$G:$G,累计考核费用!$B76,考核调整事项表!$F:$F,累计考核费用!AA$55)</f>
        <v>0</v>
      </c>
      <c r="AB76" s="302">
        <f>SUMIFS(考核调整事项表!$C:$C,考核调整事项表!$G:$G,累计考核费用!$B76,考核调整事项表!$D:$D,累计考核费用!AB$55)+SUMIFS(考核调整事项表!$E:$E,考核调整事项表!$G:$G,累计考核费用!$B76,考核调整事项表!$F:$F,累计考核费用!AB$55)</f>
        <v>0</v>
      </c>
      <c r="AC76" s="302">
        <f>SUMIFS(考核调整事项表!$C:$C,考核调整事项表!$G:$G,累计考核费用!$B76,考核调整事项表!$D:$D,累计考核费用!AC$55)+SUMIFS(考核调整事项表!$E:$E,考核调整事项表!$G:$G,累计考核费用!$B76,考核调整事项表!$F:$F,累计考核费用!AC$55)</f>
        <v>0</v>
      </c>
    </row>
    <row r="77" spans="1:29">
      <c r="A77" s="19"/>
      <c r="B77" s="57" t="s">
        <v>114</v>
      </c>
      <c r="C77" s="11">
        <f t="shared" si="7"/>
        <v>0</v>
      </c>
      <c r="D77" s="302">
        <f>SUMIFS(考核调整事项表!$C:$C,考核调整事项表!$G:$G,累计考核费用!$B77,考核调整事项表!$D:$D,累计考核费用!D$55)+SUMIFS(考核调整事项表!$E:$E,考核调整事项表!$G:$G,累计考核费用!$B77,考核调整事项表!$F:$F,累计考核费用!D$55)</f>
        <v>0</v>
      </c>
      <c r="E77" s="302">
        <f>SUMIFS(考核调整事项表!$C:$C,考核调整事项表!$G:$G,累计考核费用!$B77,考核调整事项表!$D:$D,累计考核费用!E$55)+SUMIFS(考核调整事项表!$E:$E,考核调整事项表!$G:$G,累计考核费用!$B77,考核调整事项表!$F:$F,累计考核费用!E$55)+H77+S77+AB77+AC77</f>
        <v>0</v>
      </c>
      <c r="F77" s="302">
        <f>SUMIFS(考核调整事项表!$C:$C,考核调整事项表!$G:$G,累计考核费用!$B77,考核调整事项表!$D:$D,累计考核费用!F$55)+SUMIFS(考核调整事项表!$E:$E,考核调整事项表!$G:$G,累计考核费用!$B77,考核调整事项表!$F:$F,累计考核费用!F$55)</f>
        <v>0</v>
      </c>
      <c r="G77" s="302">
        <f t="shared" si="8"/>
        <v>0</v>
      </c>
      <c r="H77" s="302">
        <f>SUMIFS(考核调整事项表!$C:$C,考核调整事项表!$G:$G,累计考核费用!$B77,考核调整事项表!$D:$D,累计考核费用!H$55)+SUMIFS(考核调整事项表!$E:$E,考核调整事项表!$G:$G,累计考核费用!$B77,考核调整事项表!$F:$F,累计考核费用!H$55)</f>
        <v>0</v>
      </c>
      <c r="I77" s="302">
        <f>SUMIFS(考核调整事项表!$C:$C,考核调整事项表!$G:$G,累计考核费用!$B77,考核调整事项表!$D:$D,累计考核费用!I$55)+SUMIFS(考核调整事项表!$E:$E,考核调整事项表!$G:$G,累计考核费用!$B77,考核调整事项表!$F:$F,累计考核费用!I$55)</f>
        <v>0</v>
      </c>
      <c r="J77" s="302">
        <f>SUMIFS(考核调整事项表!$C:$C,考核调整事项表!$G:$G,累计考核费用!$B77,考核调整事项表!$D:$D,累计考核费用!J$55)+SUMIFS(考核调整事项表!$E:$E,考核调整事项表!$G:$G,累计考核费用!$B77,考核调整事项表!$F:$F,累计考核费用!J$55)</f>
        <v>0</v>
      </c>
      <c r="K77" s="302">
        <f>SUMIFS(考核调整事项表!$C:$C,考核调整事项表!$G:$G,累计考核费用!$B77,考核调整事项表!$D:$D,累计考核费用!K$55)+SUMIFS(考核调整事项表!$E:$E,考核调整事项表!$G:$G,累计考核费用!$B77,考核调整事项表!$F:$F,累计考核费用!K$55)</f>
        <v>0</v>
      </c>
      <c r="L77" s="302">
        <f t="shared" si="9"/>
        <v>0</v>
      </c>
      <c r="M77" s="302">
        <f>SUMIFS(考核调整事项表!$C:$C,考核调整事项表!$G:$G,累计考核费用!$B77,考核调整事项表!$D:$D,累计考核费用!M$55)+SUMIFS(考核调整事项表!$E:$E,考核调整事项表!$G:$G,累计考核费用!$B77,考核调整事项表!$F:$F,累计考核费用!M$55)</f>
        <v>0</v>
      </c>
      <c r="N77" s="302">
        <f>SUMIFS(考核调整事项表!$C:$C,考核调整事项表!$G:$G,累计考核费用!$B77,考核调整事项表!$D:$D,累计考核费用!N$55)+SUMIFS(考核调整事项表!$E:$E,考核调整事项表!$G:$G,累计考核费用!$B77,考核调整事项表!$F:$F,累计考核费用!N$55)</f>
        <v>0</v>
      </c>
      <c r="O77" s="302">
        <f>SUMIFS(考核调整事项表!$C:$C,考核调整事项表!$G:$G,累计考核费用!$B77,考核调整事项表!$D:$D,累计考核费用!O$55)+SUMIFS(考核调整事项表!$E:$E,考核调整事项表!$G:$G,累计考核费用!$B77,考核调整事项表!$F:$F,累计考核费用!O$55)</f>
        <v>0</v>
      </c>
      <c r="P77" s="302">
        <f>SUMIFS(考核调整事项表!$C:$C,考核调整事项表!$G:$G,累计考核费用!$B77,考核调整事项表!$D:$D,累计考核费用!P$55)+SUMIFS(考核调整事项表!$E:$E,考核调整事项表!$G:$G,累计考核费用!$B77,考核调整事项表!$F:$F,累计考核费用!P$55)</f>
        <v>0</v>
      </c>
      <c r="Q77" s="302">
        <f>SUMIFS(考核调整事项表!$C:$C,考核调整事项表!$G:$G,累计考核费用!$B77,考核调整事项表!$D:$D,累计考核费用!Q$55)+SUMIFS(考核调整事项表!$E:$E,考核调整事项表!$G:$G,累计考核费用!$B77,考核调整事项表!$F:$F,累计考核费用!Q$55)</f>
        <v>0</v>
      </c>
      <c r="R77" s="302">
        <f>SUMIFS(考核调整事项表!$C:$C,考核调整事项表!$G:$G,累计考核费用!$B77,考核调整事项表!$D:$D,累计考核费用!R$55)+SUMIFS(考核调整事项表!$E:$E,考核调整事项表!$G:$G,累计考核费用!$B77,考核调整事项表!$F:$F,累计考核费用!R$55)</f>
        <v>0</v>
      </c>
      <c r="S77" s="302">
        <f>SUMIFS(考核调整事项表!$C:$C,考核调整事项表!$G:$G,累计考核费用!$B77,考核调整事项表!$D:$D,累计考核费用!S$55)+SUMIFS(考核调整事项表!$E:$E,考核调整事项表!$G:$G,累计考核费用!$B77,考核调整事项表!$F:$F,累计考核费用!S$55)</f>
        <v>0</v>
      </c>
      <c r="T77" s="305">
        <f t="shared" si="13"/>
        <v>0</v>
      </c>
      <c r="U77" s="302">
        <f>SUMIFS(考核调整事项表!$C:$C,考核调整事项表!$G:$G,累计考核费用!$B77,考核调整事项表!$D:$D,累计考核费用!U$55)+SUMIFS(考核调整事项表!$E:$E,考核调整事项表!$G:$G,累计考核费用!$B77,考核调整事项表!$F:$F,累计考核费用!U$55)</f>
        <v>0</v>
      </c>
      <c r="V77" s="302">
        <f>SUMIFS(考核调整事项表!$C:$C,考核调整事项表!$G:$G,累计考核费用!$B77,考核调整事项表!$D:$D,累计考核费用!V$55)+SUMIFS(考核调整事项表!$E:$E,考核调整事项表!$G:$G,累计考核费用!$B77,考核调整事项表!$F:$F,累计考核费用!V$55)</f>
        <v>0</v>
      </c>
      <c r="W77" s="302">
        <f>SUMIFS(考核调整事项表!$C:$C,考核调整事项表!$G:$G,累计考核费用!$B77,考核调整事项表!$D:$D,累计考核费用!W$55)+SUMIFS(考核调整事项表!$E:$E,考核调整事项表!$G:$G,累计考核费用!$B77,考核调整事项表!$F:$F,累计考核费用!W$55)</f>
        <v>0</v>
      </c>
      <c r="X77" s="302">
        <f>SUMIFS(考核调整事项表!$C:$C,考核调整事项表!$G:$G,累计考核费用!$B77,考核调整事项表!$D:$D,累计考核费用!X$55)+SUMIFS(考核调整事项表!$E:$E,考核调整事项表!$G:$G,累计考核费用!$B77,考核调整事项表!$F:$F,累计考核费用!X$55)</f>
        <v>0</v>
      </c>
      <c r="Y77" s="302">
        <f>SUMIFS(考核调整事项表!$C:$C,考核调整事项表!$G:$G,累计考核费用!$B77,考核调整事项表!$D:$D,累计考核费用!Y$55)+SUMIFS(考核调整事项表!$E:$E,考核调整事项表!$G:$G,累计考核费用!$B77,考核调整事项表!$F:$F,累计考核费用!Y$55)</f>
        <v>0</v>
      </c>
      <c r="Z77" s="302">
        <f>SUMIFS(考核调整事项表!$C:$C,考核调整事项表!$G:$G,累计考核费用!$B77,考核调整事项表!$D:$D,累计考核费用!Z$55)+SUMIFS(考核调整事项表!$E:$E,考核调整事项表!$G:$G,累计考核费用!$B77,考核调整事项表!$F:$F,累计考核费用!Z$55)</f>
        <v>0</v>
      </c>
      <c r="AA77" s="302">
        <f>SUMIFS(考核调整事项表!$C:$C,考核调整事项表!$G:$G,累计考核费用!$B77,考核调整事项表!$D:$D,累计考核费用!AA$55)+SUMIFS(考核调整事项表!$E:$E,考核调整事项表!$G:$G,累计考核费用!$B77,考核调整事项表!$F:$F,累计考核费用!AA$55)</f>
        <v>0</v>
      </c>
      <c r="AB77" s="302">
        <f>SUMIFS(考核调整事项表!$C:$C,考核调整事项表!$G:$G,累计考核费用!$B77,考核调整事项表!$D:$D,累计考核费用!AB$55)+SUMIFS(考核调整事项表!$E:$E,考核调整事项表!$G:$G,累计考核费用!$B77,考核调整事项表!$F:$F,累计考核费用!AB$55)</f>
        <v>0</v>
      </c>
      <c r="AC77" s="302">
        <f>SUMIFS(考核调整事项表!$C:$C,考核调整事项表!$G:$G,累计考核费用!$B77,考核调整事项表!$D:$D,累计考核费用!AC$55)+SUMIFS(考核调整事项表!$E:$E,考核调整事项表!$G:$G,累计考核费用!$B77,考核调整事项表!$F:$F,累计考核费用!AC$55)</f>
        <v>0</v>
      </c>
    </row>
    <row r="78" spans="1:29">
      <c r="A78" s="19"/>
      <c r="B78" s="57" t="s">
        <v>115</v>
      </c>
      <c r="C78" s="11">
        <f t="shared" si="7"/>
        <v>0</v>
      </c>
      <c r="D78" s="302">
        <f>SUMIFS(考核调整事项表!$C:$C,考核调整事项表!$G:$G,累计考核费用!$B78,考核调整事项表!$D:$D,累计考核费用!D$55)+SUMIFS(考核调整事项表!$E:$E,考核调整事项表!$G:$G,累计考核费用!$B78,考核调整事项表!$F:$F,累计考核费用!D$55)</f>
        <v>815533.98</v>
      </c>
      <c r="E78" s="302">
        <f>SUMIFS(考核调整事项表!$C:$C,考核调整事项表!$G:$G,累计考核费用!$B78,考核调整事项表!$D:$D,累计考核费用!E$55)+SUMIFS(考核调整事项表!$E:$E,考核调整事项表!$G:$G,累计考核费用!$B78,考核调整事项表!$F:$F,累计考核费用!E$55)+H78+S78+AB78+AC78</f>
        <v>-331808.97</v>
      </c>
      <c r="F78" s="302">
        <f>SUMIFS(考核调整事项表!$C:$C,考核调整事项表!$G:$G,累计考核费用!$B78,考核调整事项表!$D:$D,累计考核费用!F$55)+SUMIFS(考核调整事项表!$E:$E,考核调整事项表!$G:$G,累计考核费用!$B78,考核调整事项表!$F:$F,累计考核费用!F$55)</f>
        <v>331808.97</v>
      </c>
      <c r="G78" s="302">
        <f t="shared" si="8"/>
        <v>-815533.98</v>
      </c>
      <c r="H78" s="302">
        <f>SUMIFS(考核调整事项表!$C:$C,考核调整事项表!$G:$G,累计考核费用!$B78,考核调整事项表!$D:$D,累计考核费用!H$55)+SUMIFS(考核调整事项表!$E:$E,考核调整事项表!$G:$G,累计考核费用!$B78,考核调整事项表!$F:$F,累计考核费用!H$55)</f>
        <v>-331808.97</v>
      </c>
      <c r="I78" s="302">
        <f>SUMIFS(考核调整事项表!$C:$C,考核调整事项表!$G:$G,累计考核费用!$B78,考核调整事项表!$D:$D,累计考核费用!I$55)+SUMIFS(考核调整事项表!$E:$E,考核调整事项表!$G:$G,累计考核费用!$B78,考核调整事项表!$F:$F,累计考核费用!I$55)</f>
        <v>0</v>
      </c>
      <c r="J78" s="302">
        <f>SUMIFS(考核调整事项表!$C:$C,考核调整事项表!$G:$G,累计考核费用!$B78,考核调整事项表!$D:$D,累计考核费用!J$55)+SUMIFS(考核调整事项表!$E:$E,考核调整事项表!$G:$G,累计考核费用!$B78,考核调整事项表!$F:$F,累计考核费用!J$55)</f>
        <v>0</v>
      </c>
      <c r="K78" s="302">
        <f>SUMIFS(考核调整事项表!$C:$C,考核调整事项表!$G:$G,累计考核费用!$B78,考核调整事项表!$D:$D,累计考核费用!K$55)+SUMIFS(考核调整事项表!$E:$E,考核调整事项表!$G:$G,累计考核费用!$B78,考核调整事项表!$F:$F,累计考核费用!K$55)</f>
        <v>-815533.98</v>
      </c>
      <c r="L78" s="302">
        <f t="shared" si="9"/>
        <v>0</v>
      </c>
      <c r="M78" s="302">
        <f>SUMIFS(考核调整事项表!$C:$C,考核调整事项表!$G:$G,累计考核费用!$B78,考核调整事项表!$D:$D,累计考核费用!M$55)+SUMIFS(考核调整事项表!$E:$E,考核调整事项表!$G:$G,累计考核费用!$B78,考核调整事项表!$F:$F,累计考核费用!M$55)</f>
        <v>0</v>
      </c>
      <c r="N78" s="302">
        <f>SUMIFS(考核调整事项表!$C:$C,考核调整事项表!$G:$G,累计考核费用!$B78,考核调整事项表!$D:$D,累计考核费用!N$55)+SUMIFS(考核调整事项表!$E:$E,考核调整事项表!$G:$G,累计考核费用!$B78,考核调整事项表!$F:$F,累计考核费用!N$55)</f>
        <v>0</v>
      </c>
      <c r="O78" s="302">
        <f>SUMIFS(考核调整事项表!$C:$C,考核调整事项表!$G:$G,累计考核费用!$B78,考核调整事项表!$D:$D,累计考核费用!O$55)+SUMIFS(考核调整事项表!$E:$E,考核调整事项表!$G:$G,累计考核费用!$B78,考核调整事项表!$F:$F,累计考核费用!O$55)</f>
        <v>0</v>
      </c>
      <c r="P78" s="302">
        <f>SUMIFS(考核调整事项表!$C:$C,考核调整事项表!$G:$G,累计考核费用!$B78,考核调整事项表!$D:$D,累计考核费用!P$55)+SUMIFS(考核调整事项表!$E:$E,考核调整事项表!$G:$G,累计考核费用!$B78,考核调整事项表!$F:$F,累计考核费用!P$55)</f>
        <v>0</v>
      </c>
      <c r="Q78" s="302">
        <f>SUMIFS(考核调整事项表!$C:$C,考核调整事项表!$G:$G,累计考核费用!$B78,考核调整事项表!$D:$D,累计考核费用!Q$55)+SUMIFS(考核调整事项表!$E:$E,考核调整事项表!$G:$G,累计考核费用!$B78,考核调整事项表!$F:$F,累计考核费用!Q$55)</f>
        <v>0</v>
      </c>
      <c r="R78" s="302">
        <f>SUMIFS(考核调整事项表!$C:$C,考核调整事项表!$G:$G,累计考核费用!$B78,考核调整事项表!$D:$D,累计考核费用!R$55)+SUMIFS(考核调整事项表!$E:$E,考核调整事项表!$G:$G,累计考核费用!$B78,考核调整事项表!$F:$F,累计考核费用!R$55)</f>
        <v>0</v>
      </c>
      <c r="S78" s="302">
        <f>SUMIFS(考核调整事项表!$C:$C,考核调整事项表!$G:$G,累计考核费用!$B78,考核调整事项表!$D:$D,累计考核费用!S$55)+SUMIFS(考核调整事项表!$E:$E,考核调整事项表!$G:$G,累计考核费用!$B78,考核调整事项表!$F:$F,累计考核费用!S$55)</f>
        <v>0</v>
      </c>
      <c r="T78" s="305">
        <f t="shared" si="13"/>
        <v>0</v>
      </c>
      <c r="U78" s="302">
        <f>SUMIFS(考核调整事项表!$C:$C,考核调整事项表!$G:$G,累计考核费用!$B78,考核调整事项表!$D:$D,累计考核费用!U$55)+SUMIFS(考核调整事项表!$E:$E,考核调整事项表!$G:$G,累计考核费用!$B78,考核调整事项表!$F:$F,累计考核费用!U$55)</f>
        <v>0</v>
      </c>
      <c r="V78" s="302">
        <f>SUMIFS(考核调整事项表!$C:$C,考核调整事项表!$G:$G,累计考核费用!$B78,考核调整事项表!$D:$D,累计考核费用!V$55)+SUMIFS(考核调整事项表!$E:$E,考核调整事项表!$G:$G,累计考核费用!$B78,考核调整事项表!$F:$F,累计考核费用!V$55)</f>
        <v>0</v>
      </c>
      <c r="W78" s="302">
        <f>SUMIFS(考核调整事项表!$C:$C,考核调整事项表!$G:$G,累计考核费用!$B78,考核调整事项表!$D:$D,累计考核费用!W$55)+SUMIFS(考核调整事项表!$E:$E,考核调整事项表!$G:$G,累计考核费用!$B78,考核调整事项表!$F:$F,累计考核费用!W$55)</f>
        <v>0</v>
      </c>
      <c r="X78" s="302">
        <f>SUMIFS(考核调整事项表!$C:$C,考核调整事项表!$G:$G,累计考核费用!$B78,考核调整事项表!$D:$D,累计考核费用!X$55)+SUMIFS(考核调整事项表!$E:$E,考核调整事项表!$G:$G,累计考核费用!$B78,考核调整事项表!$F:$F,累计考核费用!X$55)</f>
        <v>0</v>
      </c>
      <c r="Y78" s="302">
        <f>SUMIFS(考核调整事项表!$C:$C,考核调整事项表!$G:$G,累计考核费用!$B78,考核调整事项表!$D:$D,累计考核费用!Y$55)+SUMIFS(考核调整事项表!$E:$E,考核调整事项表!$G:$G,累计考核费用!$B78,考核调整事项表!$F:$F,累计考核费用!Y$55)</f>
        <v>0</v>
      </c>
      <c r="Z78" s="302">
        <f>SUMIFS(考核调整事项表!$C:$C,考核调整事项表!$G:$G,累计考核费用!$B78,考核调整事项表!$D:$D,累计考核费用!Z$55)+SUMIFS(考核调整事项表!$E:$E,考核调整事项表!$G:$G,累计考核费用!$B78,考核调整事项表!$F:$F,累计考核费用!Z$55)</f>
        <v>0</v>
      </c>
      <c r="AA78" s="302">
        <f>SUMIFS(考核调整事项表!$C:$C,考核调整事项表!$G:$G,累计考核费用!$B78,考核调整事项表!$D:$D,累计考核费用!AA$55)+SUMIFS(考核调整事项表!$E:$E,考核调整事项表!$G:$G,累计考核费用!$B78,考核调整事项表!$F:$F,累计考核费用!AA$55)</f>
        <v>0</v>
      </c>
      <c r="AB78" s="302">
        <f>SUMIFS(考核调整事项表!$C:$C,考核调整事项表!$G:$G,累计考核费用!$B78,考核调整事项表!$D:$D,累计考核费用!AB$55)+SUMIFS(考核调整事项表!$E:$E,考核调整事项表!$G:$G,累计考核费用!$B78,考核调整事项表!$F:$F,累计考核费用!AB$55)</f>
        <v>0</v>
      </c>
      <c r="AC78" s="302">
        <f>SUMIFS(考核调整事项表!$C:$C,考核调整事项表!$G:$G,累计考核费用!$B78,考核调整事项表!$D:$D,累计考核费用!AC$55)+SUMIFS(考核调整事项表!$E:$E,考核调整事项表!$G:$G,累计考核费用!$B78,考核调整事项表!$F:$F,累计考核费用!AC$55)</f>
        <v>0</v>
      </c>
    </row>
    <row r="79" spans="1:29">
      <c r="A79" s="19"/>
      <c r="B79" s="57" t="s">
        <v>116</v>
      </c>
      <c r="C79" s="11">
        <f t="shared" si="7"/>
        <v>0</v>
      </c>
      <c r="D79" s="302">
        <f>SUMIFS(考核调整事项表!$C:$C,考核调整事项表!$G:$G,累计考核费用!$B79,考核调整事项表!$D:$D,累计考核费用!D$55)+SUMIFS(考核调整事项表!$E:$E,考核调整事项表!$G:$G,累计考核费用!$B79,考核调整事项表!$F:$F,累计考核费用!D$55)</f>
        <v>0</v>
      </c>
      <c r="E79" s="302">
        <f>SUMIFS(考核调整事项表!$C:$C,考核调整事项表!$G:$G,累计考核费用!$B79,考核调整事项表!$D:$D,累计考核费用!E$55)+SUMIFS(考核调整事项表!$E:$E,考核调整事项表!$G:$G,累计考核费用!$B79,考核调整事项表!$F:$F,累计考核费用!E$55)+H79+S79+AB79+AC79</f>
        <v>0</v>
      </c>
      <c r="F79" s="302">
        <f>SUMIFS(考核调整事项表!$C:$C,考核调整事项表!$G:$G,累计考核费用!$B79,考核调整事项表!$D:$D,累计考核费用!F$55)+SUMIFS(考核调整事项表!$E:$E,考核调整事项表!$G:$G,累计考核费用!$B79,考核调整事项表!$F:$F,累计考核费用!F$55)</f>
        <v>0</v>
      </c>
      <c r="G79" s="302">
        <f t="shared" si="8"/>
        <v>0</v>
      </c>
      <c r="H79" s="302">
        <f>SUMIFS(考核调整事项表!$C:$C,考核调整事项表!$G:$G,累计考核费用!$B79,考核调整事项表!$D:$D,累计考核费用!H$55)+SUMIFS(考核调整事项表!$E:$E,考核调整事项表!$G:$G,累计考核费用!$B79,考核调整事项表!$F:$F,累计考核费用!H$55)</f>
        <v>0</v>
      </c>
      <c r="I79" s="302">
        <f>SUMIFS(考核调整事项表!$C:$C,考核调整事项表!$G:$G,累计考核费用!$B79,考核调整事项表!$D:$D,累计考核费用!I$55)+SUMIFS(考核调整事项表!$E:$E,考核调整事项表!$G:$G,累计考核费用!$B79,考核调整事项表!$F:$F,累计考核费用!I$55)</f>
        <v>0</v>
      </c>
      <c r="J79" s="302">
        <f>SUMIFS(考核调整事项表!$C:$C,考核调整事项表!$G:$G,累计考核费用!$B79,考核调整事项表!$D:$D,累计考核费用!J$55)+SUMIFS(考核调整事项表!$E:$E,考核调整事项表!$G:$G,累计考核费用!$B79,考核调整事项表!$F:$F,累计考核费用!J$55)</f>
        <v>0</v>
      </c>
      <c r="K79" s="302">
        <f>SUMIFS(考核调整事项表!$C:$C,考核调整事项表!$G:$G,累计考核费用!$B79,考核调整事项表!$D:$D,累计考核费用!K$55)+SUMIFS(考核调整事项表!$E:$E,考核调整事项表!$G:$G,累计考核费用!$B79,考核调整事项表!$F:$F,累计考核费用!K$55)</f>
        <v>0</v>
      </c>
      <c r="L79" s="302">
        <f t="shared" si="9"/>
        <v>0</v>
      </c>
      <c r="M79" s="302">
        <f>SUMIFS(考核调整事项表!$C:$C,考核调整事项表!$G:$G,累计考核费用!$B79,考核调整事项表!$D:$D,累计考核费用!M$55)+SUMIFS(考核调整事项表!$E:$E,考核调整事项表!$G:$G,累计考核费用!$B79,考核调整事项表!$F:$F,累计考核费用!M$55)</f>
        <v>0</v>
      </c>
      <c r="N79" s="302">
        <f>SUMIFS(考核调整事项表!$C:$C,考核调整事项表!$G:$G,累计考核费用!$B79,考核调整事项表!$D:$D,累计考核费用!N$55)+SUMIFS(考核调整事项表!$E:$E,考核调整事项表!$G:$G,累计考核费用!$B79,考核调整事项表!$F:$F,累计考核费用!N$55)</f>
        <v>0</v>
      </c>
      <c r="O79" s="302">
        <f>SUMIFS(考核调整事项表!$C:$C,考核调整事项表!$G:$G,累计考核费用!$B79,考核调整事项表!$D:$D,累计考核费用!O$55)+SUMIFS(考核调整事项表!$E:$E,考核调整事项表!$G:$G,累计考核费用!$B79,考核调整事项表!$F:$F,累计考核费用!O$55)</f>
        <v>0</v>
      </c>
      <c r="P79" s="302">
        <f>SUMIFS(考核调整事项表!$C:$C,考核调整事项表!$G:$G,累计考核费用!$B79,考核调整事项表!$D:$D,累计考核费用!P$55)+SUMIFS(考核调整事项表!$E:$E,考核调整事项表!$G:$G,累计考核费用!$B79,考核调整事项表!$F:$F,累计考核费用!P$55)</f>
        <v>0</v>
      </c>
      <c r="Q79" s="302">
        <f>SUMIFS(考核调整事项表!$C:$C,考核调整事项表!$G:$G,累计考核费用!$B79,考核调整事项表!$D:$D,累计考核费用!Q$55)+SUMIFS(考核调整事项表!$E:$E,考核调整事项表!$G:$G,累计考核费用!$B79,考核调整事项表!$F:$F,累计考核费用!Q$55)</f>
        <v>0</v>
      </c>
      <c r="R79" s="302">
        <f>SUMIFS(考核调整事项表!$C:$C,考核调整事项表!$G:$G,累计考核费用!$B79,考核调整事项表!$D:$D,累计考核费用!R$55)+SUMIFS(考核调整事项表!$E:$E,考核调整事项表!$G:$G,累计考核费用!$B79,考核调整事项表!$F:$F,累计考核费用!R$55)</f>
        <v>0</v>
      </c>
      <c r="S79" s="302">
        <f>SUMIFS(考核调整事项表!$C:$C,考核调整事项表!$G:$G,累计考核费用!$B79,考核调整事项表!$D:$D,累计考核费用!S$55)+SUMIFS(考核调整事项表!$E:$E,考核调整事项表!$G:$G,累计考核费用!$B79,考核调整事项表!$F:$F,累计考核费用!S$55)</f>
        <v>0</v>
      </c>
      <c r="T79" s="305">
        <f t="shared" si="13"/>
        <v>0</v>
      </c>
      <c r="U79" s="302">
        <f>SUMIFS(考核调整事项表!$C:$C,考核调整事项表!$G:$G,累计考核费用!$B79,考核调整事项表!$D:$D,累计考核费用!U$55)+SUMIFS(考核调整事项表!$E:$E,考核调整事项表!$G:$G,累计考核费用!$B79,考核调整事项表!$F:$F,累计考核费用!U$55)</f>
        <v>0</v>
      </c>
      <c r="V79" s="302">
        <f>SUMIFS(考核调整事项表!$C:$C,考核调整事项表!$G:$G,累计考核费用!$B79,考核调整事项表!$D:$D,累计考核费用!V$55)+SUMIFS(考核调整事项表!$E:$E,考核调整事项表!$G:$G,累计考核费用!$B79,考核调整事项表!$F:$F,累计考核费用!V$55)</f>
        <v>0</v>
      </c>
      <c r="W79" s="302">
        <f>SUMIFS(考核调整事项表!$C:$C,考核调整事项表!$G:$G,累计考核费用!$B79,考核调整事项表!$D:$D,累计考核费用!W$55)+SUMIFS(考核调整事项表!$E:$E,考核调整事项表!$G:$G,累计考核费用!$B79,考核调整事项表!$F:$F,累计考核费用!W$55)</f>
        <v>0</v>
      </c>
      <c r="X79" s="302">
        <f>SUMIFS(考核调整事项表!$C:$C,考核调整事项表!$G:$G,累计考核费用!$B79,考核调整事项表!$D:$D,累计考核费用!X$55)+SUMIFS(考核调整事项表!$E:$E,考核调整事项表!$G:$G,累计考核费用!$B79,考核调整事项表!$F:$F,累计考核费用!X$55)</f>
        <v>0</v>
      </c>
      <c r="Y79" s="302">
        <f>SUMIFS(考核调整事项表!$C:$C,考核调整事项表!$G:$G,累计考核费用!$B79,考核调整事项表!$D:$D,累计考核费用!Y$55)+SUMIFS(考核调整事项表!$E:$E,考核调整事项表!$G:$G,累计考核费用!$B79,考核调整事项表!$F:$F,累计考核费用!Y$55)</f>
        <v>0</v>
      </c>
      <c r="Z79" s="302">
        <f>SUMIFS(考核调整事项表!$C:$C,考核调整事项表!$G:$G,累计考核费用!$B79,考核调整事项表!$D:$D,累计考核费用!Z$55)+SUMIFS(考核调整事项表!$E:$E,考核调整事项表!$G:$G,累计考核费用!$B79,考核调整事项表!$F:$F,累计考核费用!Z$55)</f>
        <v>0</v>
      </c>
      <c r="AA79" s="302">
        <f>SUMIFS(考核调整事项表!$C:$C,考核调整事项表!$G:$G,累计考核费用!$B79,考核调整事项表!$D:$D,累计考核费用!AA$55)+SUMIFS(考核调整事项表!$E:$E,考核调整事项表!$G:$G,累计考核费用!$B79,考核调整事项表!$F:$F,累计考核费用!AA$55)</f>
        <v>0</v>
      </c>
      <c r="AB79" s="302">
        <f>SUMIFS(考核调整事项表!$C:$C,考核调整事项表!$G:$G,累计考核费用!$B79,考核调整事项表!$D:$D,累计考核费用!AB$55)+SUMIFS(考核调整事项表!$E:$E,考核调整事项表!$G:$G,累计考核费用!$B79,考核调整事项表!$F:$F,累计考核费用!AB$55)</f>
        <v>0</v>
      </c>
      <c r="AC79" s="302">
        <f>SUMIFS(考核调整事项表!$C:$C,考核调整事项表!$G:$G,累计考核费用!$B79,考核调整事项表!$D:$D,累计考核费用!AC$55)+SUMIFS(考核调整事项表!$E:$E,考核调整事项表!$G:$G,累计考核费用!$B79,考核调整事项表!$F:$F,累计考核费用!AC$55)</f>
        <v>0</v>
      </c>
    </row>
    <row r="80" spans="1:29">
      <c r="A80" s="19"/>
      <c r="B80" s="57" t="s">
        <v>117</v>
      </c>
      <c r="C80" s="11">
        <f t="shared" si="7"/>
        <v>0</v>
      </c>
      <c r="D80" s="302">
        <f>SUMIFS(考核调整事项表!$C:$C,考核调整事项表!$G:$G,累计考核费用!$B80,考核调整事项表!$D:$D,累计考核费用!D$55)+SUMIFS(考核调整事项表!$E:$E,考核调整事项表!$G:$G,累计考核费用!$B80,考核调整事项表!$F:$F,累计考核费用!D$55)</f>
        <v>0</v>
      </c>
      <c r="E80" s="302">
        <f>SUMIFS(考核调整事项表!$C:$C,考核调整事项表!$G:$G,累计考核费用!$B80,考核调整事项表!$D:$D,累计考核费用!E$55)+SUMIFS(考核调整事项表!$E:$E,考核调整事项表!$G:$G,累计考核费用!$B80,考核调整事项表!$F:$F,累计考核费用!E$55)+H80+S80+AB80+AC80</f>
        <v>0</v>
      </c>
      <c r="F80" s="302">
        <f>SUMIFS(考核调整事项表!$C:$C,考核调整事项表!$G:$G,累计考核费用!$B80,考核调整事项表!$D:$D,累计考核费用!F$55)+SUMIFS(考核调整事项表!$E:$E,考核调整事项表!$G:$G,累计考核费用!$B80,考核调整事项表!$F:$F,累计考核费用!F$55)</f>
        <v>0</v>
      </c>
      <c r="G80" s="302">
        <f t="shared" si="8"/>
        <v>0</v>
      </c>
      <c r="H80" s="302">
        <f>SUMIFS(考核调整事项表!$C:$C,考核调整事项表!$G:$G,累计考核费用!$B80,考核调整事项表!$D:$D,累计考核费用!H$55)+SUMIFS(考核调整事项表!$E:$E,考核调整事项表!$G:$G,累计考核费用!$B80,考核调整事项表!$F:$F,累计考核费用!H$55)</f>
        <v>0</v>
      </c>
      <c r="I80" s="302">
        <f>SUMIFS(考核调整事项表!$C:$C,考核调整事项表!$G:$G,累计考核费用!$B80,考核调整事项表!$D:$D,累计考核费用!I$55)+SUMIFS(考核调整事项表!$E:$E,考核调整事项表!$G:$G,累计考核费用!$B80,考核调整事项表!$F:$F,累计考核费用!I$55)</f>
        <v>0</v>
      </c>
      <c r="J80" s="302">
        <f>SUMIFS(考核调整事项表!$C:$C,考核调整事项表!$G:$G,累计考核费用!$B80,考核调整事项表!$D:$D,累计考核费用!J$55)+SUMIFS(考核调整事项表!$E:$E,考核调整事项表!$G:$G,累计考核费用!$B80,考核调整事项表!$F:$F,累计考核费用!J$55)</f>
        <v>0</v>
      </c>
      <c r="K80" s="302">
        <f>SUMIFS(考核调整事项表!$C:$C,考核调整事项表!$G:$G,累计考核费用!$B80,考核调整事项表!$D:$D,累计考核费用!K$55)+SUMIFS(考核调整事项表!$E:$E,考核调整事项表!$G:$G,累计考核费用!$B80,考核调整事项表!$F:$F,累计考核费用!K$55)</f>
        <v>0</v>
      </c>
      <c r="L80" s="302">
        <f t="shared" si="9"/>
        <v>0</v>
      </c>
      <c r="M80" s="302">
        <f>SUMIFS(考核调整事项表!$C:$C,考核调整事项表!$G:$G,累计考核费用!$B80,考核调整事项表!$D:$D,累计考核费用!M$55)+SUMIFS(考核调整事项表!$E:$E,考核调整事项表!$G:$G,累计考核费用!$B80,考核调整事项表!$F:$F,累计考核费用!M$55)</f>
        <v>0</v>
      </c>
      <c r="N80" s="302">
        <f>SUMIFS(考核调整事项表!$C:$C,考核调整事项表!$G:$G,累计考核费用!$B80,考核调整事项表!$D:$D,累计考核费用!N$55)+SUMIFS(考核调整事项表!$E:$E,考核调整事项表!$G:$G,累计考核费用!$B80,考核调整事项表!$F:$F,累计考核费用!N$55)</f>
        <v>0</v>
      </c>
      <c r="O80" s="302">
        <f>SUMIFS(考核调整事项表!$C:$C,考核调整事项表!$G:$G,累计考核费用!$B80,考核调整事项表!$D:$D,累计考核费用!O$55)+SUMIFS(考核调整事项表!$E:$E,考核调整事项表!$G:$G,累计考核费用!$B80,考核调整事项表!$F:$F,累计考核费用!O$55)</f>
        <v>0</v>
      </c>
      <c r="P80" s="302">
        <f>SUMIFS(考核调整事项表!$C:$C,考核调整事项表!$G:$G,累计考核费用!$B80,考核调整事项表!$D:$D,累计考核费用!P$55)+SUMIFS(考核调整事项表!$E:$E,考核调整事项表!$G:$G,累计考核费用!$B80,考核调整事项表!$F:$F,累计考核费用!P$55)</f>
        <v>0</v>
      </c>
      <c r="Q80" s="302">
        <f>SUMIFS(考核调整事项表!$C:$C,考核调整事项表!$G:$G,累计考核费用!$B80,考核调整事项表!$D:$D,累计考核费用!Q$55)+SUMIFS(考核调整事项表!$E:$E,考核调整事项表!$G:$G,累计考核费用!$B80,考核调整事项表!$F:$F,累计考核费用!Q$55)</f>
        <v>0</v>
      </c>
      <c r="R80" s="302">
        <f>SUMIFS(考核调整事项表!$C:$C,考核调整事项表!$G:$G,累计考核费用!$B80,考核调整事项表!$D:$D,累计考核费用!R$55)+SUMIFS(考核调整事项表!$E:$E,考核调整事项表!$G:$G,累计考核费用!$B80,考核调整事项表!$F:$F,累计考核费用!R$55)</f>
        <v>0</v>
      </c>
      <c r="S80" s="302">
        <f>SUMIFS(考核调整事项表!$C:$C,考核调整事项表!$G:$G,累计考核费用!$B80,考核调整事项表!$D:$D,累计考核费用!S$55)+SUMIFS(考核调整事项表!$E:$E,考核调整事项表!$G:$G,累计考核费用!$B80,考核调整事项表!$F:$F,累计考核费用!S$55)</f>
        <v>0</v>
      </c>
      <c r="T80" s="305">
        <f t="shared" si="13"/>
        <v>0</v>
      </c>
      <c r="U80" s="302">
        <f>SUMIFS(考核调整事项表!$C:$C,考核调整事项表!$G:$G,累计考核费用!$B80,考核调整事项表!$D:$D,累计考核费用!U$55)+SUMIFS(考核调整事项表!$E:$E,考核调整事项表!$G:$G,累计考核费用!$B80,考核调整事项表!$F:$F,累计考核费用!U$55)</f>
        <v>0</v>
      </c>
      <c r="V80" s="302">
        <f>SUMIFS(考核调整事项表!$C:$C,考核调整事项表!$G:$G,累计考核费用!$B80,考核调整事项表!$D:$D,累计考核费用!V$55)+SUMIFS(考核调整事项表!$E:$E,考核调整事项表!$G:$G,累计考核费用!$B80,考核调整事项表!$F:$F,累计考核费用!V$55)</f>
        <v>0</v>
      </c>
      <c r="W80" s="302">
        <f>SUMIFS(考核调整事项表!$C:$C,考核调整事项表!$G:$G,累计考核费用!$B80,考核调整事项表!$D:$D,累计考核费用!W$55)+SUMIFS(考核调整事项表!$E:$E,考核调整事项表!$G:$G,累计考核费用!$B80,考核调整事项表!$F:$F,累计考核费用!W$55)</f>
        <v>0</v>
      </c>
      <c r="X80" s="302">
        <f>SUMIFS(考核调整事项表!$C:$C,考核调整事项表!$G:$G,累计考核费用!$B80,考核调整事项表!$D:$D,累计考核费用!X$55)+SUMIFS(考核调整事项表!$E:$E,考核调整事项表!$G:$G,累计考核费用!$B80,考核调整事项表!$F:$F,累计考核费用!X$55)</f>
        <v>0</v>
      </c>
      <c r="Y80" s="302">
        <f>SUMIFS(考核调整事项表!$C:$C,考核调整事项表!$G:$G,累计考核费用!$B80,考核调整事项表!$D:$D,累计考核费用!Y$55)+SUMIFS(考核调整事项表!$E:$E,考核调整事项表!$G:$G,累计考核费用!$B80,考核调整事项表!$F:$F,累计考核费用!Y$55)</f>
        <v>0</v>
      </c>
      <c r="Z80" s="302">
        <f>SUMIFS(考核调整事项表!$C:$C,考核调整事项表!$G:$G,累计考核费用!$B80,考核调整事项表!$D:$D,累计考核费用!Z$55)+SUMIFS(考核调整事项表!$E:$E,考核调整事项表!$G:$G,累计考核费用!$B80,考核调整事项表!$F:$F,累计考核费用!Z$55)</f>
        <v>0</v>
      </c>
      <c r="AA80" s="302">
        <f>SUMIFS(考核调整事项表!$C:$C,考核调整事项表!$G:$G,累计考核费用!$B80,考核调整事项表!$D:$D,累计考核费用!AA$55)+SUMIFS(考核调整事项表!$E:$E,考核调整事项表!$G:$G,累计考核费用!$B80,考核调整事项表!$F:$F,累计考核费用!AA$55)</f>
        <v>0</v>
      </c>
      <c r="AB80" s="302">
        <f>SUMIFS(考核调整事项表!$C:$C,考核调整事项表!$G:$G,累计考核费用!$B80,考核调整事项表!$D:$D,累计考核费用!AB$55)+SUMIFS(考核调整事项表!$E:$E,考核调整事项表!$G:$G,累计考核费用!$B80,考核调整事项表!$F:$F,累计考核费用!AB$55)</f>
        <v>0</v>
      </c>
      <c r="AC80" s="302">
        <f>SUMIFS(考核调整事项表!$C:$C,考核调整事项表!$G:$G,累计考核费用!$B80,考核调整事项表!$D:$D,累计考核费用!AC$55)+SUMIFS(考核调整事项表!$E:$E,考核调整事项表!$G:$G,累计考核费用!$B80,考核调整事项表!$F:$F,累计考核费用!AC$55)</f>
        <v>0</v>
      </c>
    </row>
    <row r="81" spans="1:29">
      <c r="A81" s="19"/>
      <c r="B81" s="57" t="s">
        <v>118</v>
      </c>
      <c r="C81" s="11">
        <f t="shared" si="7"/>
        <v>0</v>
      </c>
      <c r="D81" s="302">
        <f>SUMIFS(考核调整事项表!$C:$C,考核调整事项表!$G:$G,累计考核费用!$B81,考核调整事项表!$D:$D,累计考核费用!D$55)+SUMIFS(考核调整事项表!$E:$E,考核调整事项表!$G:$G,累计考核费用!$B81,考核调整事项表!$F:$F,累计考核费用!D$55)</f>
        <v>0</v>
      </c>
      <c r="E81" s="302">
        <f>SUMIFS(考核调整事项表!$C:$C,考核调整事项表!$G:$G,累计考核费用!$B81,考核调整事项表!$D:$D,累计考核费用!E$55)+SUMIFS(考核调整事项表!$E:$E,考核调整事项表!$G:$G,累计考核费用!$B81,考核调整事项表!$F:$F,累计考核费用!E$55)+H81+S81+AB81+AC81</f>
        <v>0</v>
      </c>
      <c r="F81" s="302">
        <f>SUMIFS(考核调整事项表!$C:$C,考核调整事项表!$G:$G,累计考核费用!$B81,考核调整事项表!$D:$D,累计考核费用!F$55)+SUMIFS(考核调整事项表!$E:$E,考核调整事项表!$G:$G,累计考核费用!$B81,考核调整事项表!$F:$F,累计考核费用!F$55)</f>
        <v>0</v>
      </c>
      <c r="G81" s="302">
        <f t="shared" si="8"/>
        <v>0</v>
      </c>
      <c r="H81" s="302">
        <f>SUMIFS(考核调整事项表!$C:$C,考核调整事项表!$G:$G,累计考核费用!$B81,考核调整事项表!$D:$D,累计考核费用!H$55)+SUMIFS(考核调整事项表!$E:$E,考核调整事项表!$G:$G,累计考核费用!$B81,考核调整事项表!$F:$F,累计考核费用!H$55)</f>
        <v>0</v>
      </c>
      <c r="I81" s="302">
        <f>SUMIFS(考核调整事项表!$C:$C,考核调整事项表!$G:$G,累计考核费用!$B81,考核调整事项表!$D:$D,累计考核费用!I$55)+SUMIFS(考核调整事项表!$E:$E,考核调整事项表!$G:$G,累计考核费用!$B81,考核调整事项表!$F:$F,累计考核费用!I$55)</f>
        <v>0</v>
      </c>
      <c r="J81" s="302">
        <f>SUMIFS(考核调整事项表!$C:$C,考核调整事项表!$G:$G,累计考核费用!$B81,考核调整事项表!$D:$D,累计考核费用!J$55)+SUMIFS(考核调整事项表!$E:$E,考核调整事项表!$G:$G,累计考核费用!$B81,考核调整事项表!$F:$F,累计考核费用!J$55)</f>
        <v>0</v>
      </c>
      <c r="K81" s="302">
        <f>SUMIFS(考核调整事项表!$C:$C,考核调整事项表!$G:$G,累计考核费用!$B81,考核调整事项表!$D:$D,累计考核费用!K$55)+SUMIFS(考核调整事项表!$E:$E,考核调整事项表!$G:$G,累计考核费用!$B81,考核调整事项表!$F:$F,累计考核费用!K$55)</f>
        <v>0</v>
      </c>
      <c r="L81" s="302">
        <f t="shared" si="9"/>
        <v>0</v>
      </c>
      <c r="M81" s="302">
        <f>SUMIFS(考核调整事项表!$C:$C,考核调整事项表!$G:$G,累计考核费用!$B81,考核调整事项表!$D:$D,累计考核费用!M$55)+SUMIFS(考核调整事项表!$E:$E,考核调整事项表!$G:$G,累计考核费用!$B81,考核调整事项表!$F:$F,累计考核费用!M$55)</f>
        <v>0</v>
      </c>
      <c r="N81" s="302">
        <f>SUMIFS(考核调整事项表!$C:$C,考核调整事项表!$G:$G,累计考核费用!$B81,考核调整事项表!$D:$D,累计考核费用!N$55)+SUMIFS(考核调整事项表!$E:$E,考核调整事项表!$G:$G,累计考核费用!$B81,考核调整事项表!$F:$F,累计考核费用!N$55)</f>
        <v>0</v>
      </c>
      <c r="O81" s="302">
        <f>SUMIFS(考核调整事项表!$C:$C,考核调整事项表!$G:$G,累计考核费用!$B81,考核调整事项表!$D:$D,累计考核费用!O$55)+SUMIFS(考核调整事项表!$E:$E,考核调整事项表!$G:$G,累计考核费用!$B81,考核调整事项表!$F:$F,累计考核费用!O$55)</f>
        <v>0</v>
      </c>
      <c r="P81" s="302">
        <f>SUMIFS(考核调整事项表!$C:$C,考核调整事项表!$G:$G,累计考核费用!$B81,考核调整事项表!$D:$D,累计考核费用!P$55)+SUMIFS(考核调整事项表!$E:$E,考核调整事项表!$G:$G,累计考核费用!$B81,考核调整事项表!$F:$F,累计考核费用!P$55)</f>
        <v>0</v>
      </c>
      <c r="Q81" s="302">
        <f>SUMIFS(考核调整事项表!$C:$C,考核调整事项表!$G:$G,累计考核费用!$B81,考核调整事项表!$D:$D,累计考核费用!Q$55)+SUMIFS(考核调整事项表!$E:$E,考核调整事项表!$G:$G,累计考核费用!$B81,考核调整事项表!$F:$F,累计考核费用!Q$55)</f>
        <v>0</v>
      </c>
      <c r="R81" s="302">
        <f>SUMIFS(考核调整事项表!$C:$C,考核调整事项表!$G:$G,累计考核费用!$B81,考核调整事项表!$D:$D,累计考核费用!R$55)+SUMIFS(考核调整事项表!$E:$E,考核调整事项表!$G:$G,累计考核费用!$B81,考核调整事项表!$F:$F,累计考核费用!R$55)</f>
        <v>0</v>
      </c>
      <c r="S81" s="302">
        <f>SUMIFS(考核调整事项表!$C:$C,考核调整事项表!$G:$G,累计考核费用!$B81,考核调整事项表!$D:$D,累计考核费用!S$55)+SUMIFS(考核调整事项表!$E:$E,考核调整事项表!$G:$G,累计考核费用!$B81,考核调整事项表!$F:$F,累计考核费用!S$55)</f>
        <v>0</v>
      </c>
      <c r="T81" s="305">
        <f t="shared" si="13"/>
        <v>0</v>
      </c>
      <c r="U81" s="302">
        <f>SUMIFS(考核调整事项表!$C:$C,考核调整事项表!$G:$G,累计考核费用!$B81,考核调整事项表!$D:$D,累计考核费用!U$55)+SUMIFS(考核调整事项表!$E:$E,考核调整事项表!$G:$G,累计考核费用!$B81,考核调整事项表!$F:$F,累计考核费用!U$55)</f>
        <v>0</v>
      </c>
      <c r="V81" s="302">
        <f>SUMIFS(考核调整事项表!$C:$C,考核调整事项表!$G:$G,累计考核费用!$B81,考核调整事项表!$D:$D,累计考核费用!V$55)+SUMIFS(考核调整事项表!$E:$E,考核调整事项表!$G:$G,累计考核费用!$B81,考核调整事项表!$F:$F,累计考核费用!V$55)</f>
        <v>0</v>
      </c>
      <c r="W81" s="302">
        <f>SUMIFS(考核调整事项表!$C:$C,考核调整事项表!$G:$G,累计考核费用!$B81,考核调整事项表!$D:$D,累计考核费用!W$55)+SUMIFS(考核调整事项表!$E:$E,考核调整事项表!$G:$G,累计考核费用!$B81,考核调整事项表!$F:$F,累计考核费用!W$55)</f>
        <v>0</v>
      </c>
      <c r="X81" s="302">
        <f>SUMIFS(考核调整事项表!$C:$C,考核调整事项表!$G:$G,累计考核费用!$B81,考核调整事项表!$D:$D,累计考核费用!X$55)+SUMIFS(考核调整事项表!$E:$E,考核调整事项表!$G:$G,累计考核费用!$B81,考核调整事项表!$F:$F,累计考核费用!X$55)</f>
        <v>0</v>
      </c>
      <c r="Y81" s="302">
        <f>SUMIFS(考核调整事项表!$C:$C,考核调整事项表!$G:$G,累计考核费用!$B81,考核调整事项表!$D:$D,累计考核费用!Y$55)+SUMIFS(考核调整事项表!$E:$E,考核调整事项表!$G:$G,累计考核费用!$B81,考核调整事项表!$F:$F,累计考核费用!Y$55)</f>
        <v>0</v>
      </c>
      <c r="Z81" s="302">
        <f>SUMIFS(考核调整事项表!$C:$C,考核调整事项表!$G:$G,累计考核费用!$B81,考核调整事项表!$D:$D,累计考核费用!Z$55)+SUMIFS(考核调整事项表!$E:$E,考核调整事项表!$G:$G,累计考核费用!$B81,考核调整事项表!$F:$F,累计考核费用!Z$55)</f>
        <v>0</v>
      </c>
      <c r="AA81" s="302">
        <f>SUMIFS(考核调整事项表!$C:$C,考核调整事项表!$G:$G,累计考核费用!$B81,考核调整事项表!$D:$D,累计考核费用!AA$55)+SUMIFS(考核调整事项表!$E:$E,考核调整事项表!$G:$G,累计考核费用!$B81,考核调整事项表!$F:$F,累计考核费用!AA$55)</f>
        <v>0</v>
      </c>
      <c r="AB81" s="302">
        <f>SUMIFS(考核调整事项表!$C:$C,考核调整事项表!$G:$G,累计考核费用!$B81,考核调整事项表!$D:$D,累计考核费用!AB$55)+SUMIFS(考核调整事项表!$E:$E,考核调整事项表!$G:$G,累计考核费用!$B81,考核调整事项表!$F:$F,累计考核费用!AB$55)</f>
        <v>0</v>
      </c>
      <c r="AC81" s="302">
        <f>SUMIFS(考核调整事项表!$C:$C,考核调整事项表!$G:$G,累计考核费用!$B81,考核调整事项表!$D:$D,累计考核费用!AC$55)+SUMIFS(考核调整事项表!$E:$E,考核调整事项表!$G:$G,累计考核费用!$B81,考核调整事项表!$F:$F,累计考核费用!AC$55)</f>
        <v>0</v>
      </c>
    </row>
    <row r="82" spans="1:29">
      <c r="A82" s="19"/>
      <c r="B82" s="57" t="s">
        <v>119</v>
      </c>
      <c r="C82" s="11">
        <f t="shared" si="7"/>
        <v>0</v>
      </c>
      <c r="D82" s="302">
        <f>SUMIFS(考核调整事项表!$C:$C,考核调整事项表!$G:$G,累计考核费用!$B82,考核调整事项表!$D:$D,累计考核费用!D$55)+SUMIFS(考核调整事项表!$E:$E,考核调整事项表!$G:$G,累计考核费用!$B82,考核调整事项表!$F:$F,累计考核费用!D$55)</f>
        <v>0</v>
      </c>
      <c r="E82" s="302">
        <f>SUMIFS(考核调整事项表!$C:$C,考核调整事项表!$G:$G,累计考核费用!$B82,考核调整事项表!$D:$D,累计考核费用!E$55)+SUMIFS(考核调整事项表!$E:$E,考核调整事项表!$G:$G,累计考核费用!$B82,考核调整事项表!$F:$F,累计考核费用!E$55)+H82+S82+AB82+AC82</f>
        <v>0</v>
      </c>
      <c r="F82" s="302">
        <f>SUMIFS(考核调整事项表!$C:$C,考核调整事项表!$G:$G,累计考核费用!$B82,考核调整事项表!$D:$D,累计考核费用!F$55)+SUMIFS(考核调整事项表!$E:$E,考核调整事项表!$G:$G,累计考核费用!$B82,考核调整事项表!$F:$F,累计考核费用!F$55)</f>
        <v>0</v>
      </c>
      <c r="G82" s="302">
        <f t="shared" si="8"/>
        <v>0</v>
      </c>
      <c r="H82" s="302">
        <f>SUMIFS(考核调整事项表!$C:$C,考核调整事项表!$G:$G,累计考核费用!$B82,考核调整事项表!$D:$D,累计考核费用!H$55)+SUMIFS(考核调整事项表!$E:$E,考核调整事项表!$G:$G,累计考核费用!$B82,考核调整事项表!$F:$F,累计考核费用!H$55)</f>
        <v>0</v>
      </c>
      <c r="I82" s="302">
        <f>SUMIFS(考核调整事项表!$C:$C,考核调整事项表!$G:$G,累计考核费用!$B82,考核调整事项表!$D:$D,累计考核费用!I$55)+SUMIFS(考核调整事项表!$E:$E,考核调整事项表!$G:$G,累计考核费用!$B82,考核调整事项表!$F:$F,累计考核费用!I$55)</f>
        <v>0</v>
      </c>
      <c r="J82" s="302">
        <f>SUMIFS(考核调整事项表!$C:$C,考核调整事项表!$G:$G,累计考核费用!$B82,考核调整事项表!$D:$D,累计考核费用!J$55)+SUMIFS(考核调整事项表!$E:$E,考核调整事项表!$G:$G,累计考核费用!$B82,考核调整事项表!$F:$F,累计考核费用!J$55)</f>
        <v>0</v>
      </c>
      <c r="K82" s="302">
        <f>SUMIFS(考核调整事项表!$C:$C,考核调整事项表!$G:$G,累计考核费用!$B82,考核调整事项表!$D:$D,累计考核费用!K$55)+SUMIFS(考核调整事项表!$E:$E,考核调整事项表!$G:$G,累计考核费用!$B82,考核调整事项表!$F:$F,累计考核费用!K$55)</f>
        <v>0</v>
      </c>
      <c r="L82" s="302">
        <f t="shared" si="9"/>
        <v>0</v>
      </c>
      <c r="M82" s="302">
        <f>SUMIFS(考核调整事项表!$C:$C,考核调整事项表!$G:$G,累计考核费用!$B82,考核调整事项表!$D:$D,累计考核费用!M$55)+SUMIFS(考核调整事项表!$E:$E,考核调整事项表!$G:$G,累计考核费用!$B82,考核调整事项表!$F:$F,累计考核费用!M$55)</f>
        <v>0</v>
      </c>
      <c r="N82" s="302">
        <f>SUMIFS(考核调整事项表!$C:$C,考核调整事项表!$G:$G,累计考核费用!$B82,考核调整事项表!$D:$D,累计考核费用!N$55)+SUMIFS(考核调整事项表!$E:$E,考核调整事项表!$G:$G,累计考核费用!$B82,考核调整事项表!$F:$F,累计考核费用!N$55)</f>
        <v>0</v>
      </c>
      <c r="O82" s="302">
        <f>SUMIFS(考核调整事项表!$C:$C,考核调整事项表!$G:$G,累计考核费用!$B82,考核调整事项表!$D:$D,累计考核费用!O$55)+SUMIFS(考核调整事项表!$E:$E,考核调整事项表!$G:$G,累计考核费用!$B82,考核调整事项表!$F:$F,累计考核费用!O$55)</f>
        <v>0</v>
      </c>
      <c r="P82" s="302">
        <f>SUMIFS(考核调整事项表!$C:$C,考核调整事项表!$G:$G,累计考核费用!$B82,考核调整事项表!$D:$D,累计考核费用!P$55)+SUMIFS(考核调整事项表!$E:$E,考核调整事项表!$G:$G,累计考核费用!$B82,考核调整事项表!$F:$F,累计考核费用!P$55)</f>
        <v>0</v>
      </c>
      <c r="Q82" s="302">
        <f>SUMIFS(考核调整事项表!$C:$C,考核调整事项表!$G:$G,累计考核费用!$B82,考核调整事项表!$D:$D,累计考核费用!Q$55)+SUMIFS(考核调整事项表!$E:$E,考核调整事项表!$G:$G,累计考核费用!$B82,考核调整事项表!$F:$F,累计考核费用!Q$55)</f>
        <v>0</v>
      </c>
      <c r="R82" s="302">
        <f>SUMIFS(考核调整事项表!$C:$C,考核调整事项表!$G:$G,累计考核费用!$B82,考核调整事项表!$D:$D,累计考核费用!R$55)+SUMIFS(考核调整事项表!$E:$E,考核调整事项表!$G:$G,累计考核费用!$B82,考核调整事项表!$F:$F,累计考核费用!R$55)</f>
        <v>0</v>
      </c>
      <c r="S82" s="302">
        <f>SUMIFS(考核调整事项表!$C:$C,考核调整事项表!$G:$G,累计考核费用!$B82,考核调整事项表!$D:$D,累计考核费用!S$55)+SUMIFS(考核调整事项表!$E:$E,考核调整事项表!$G:$G,累计考核费用!$B82,考核调整事项表!$F:$F,累计考核费用!S$55)</f>
        <v>0</v>
      </c>
      <c r="T82" s="305">
        <f t="shared" si="13"/>
        <v>0</v>
      </c>
      <c r="U82" s="302">
        <f>SUMIFS(考核调整事项表!$C:$C,考核调整事项表!$G:$G,累计考核费用!$B82,考核调整事项表!$D:$D,累计考核费用!U$55)+SUMIFS(考核调整事项表!$E:$E,考核调整事项表!$G:$G,累计考核费用!$B82,考核调整事项表!$F:$F,累计考核费用!U$55)</f>
        <v>0</v>
      </c>
      <c r="V82" s="302">
        <f>SUMIFS(考核调整事项表!$C:$C,考核调整事项表!$G:$G,累计考核费用!$B82,考核调整事项表!$D:$D,累计考核费用!V$55)+SUMIFS(考核调整事项表!$E:$E,考核调整事项表!$G:$G,累计考核费用!$B82,考核调整事项表!$F:$F,累计考核费用!V$55)</f>
        <v>0</v>
      </c>
      <c r="W82" s="302">
        <f>SUMIFS(考核调整事项表!$C:$C,考核调整事项表!$G:$G,累计考核费用!$B82,考核调整事项表!$D:$D,累计考核费用!W$55)+SUMIFS(考核调整事项表!$E:$E,考核调整事项表!$G:$G,累计考核费用!$B82,考核调整事项表!$F:$F,累计考核费用!W$55)</f>
        <v>0</v>
      </c>
      <c r="X82" s="302">
        <f>SUMIFS(考核调整事项表!$C:$C,考核调整事项表!$G:$G,累计考核费用!$B82,考核调整事项表!$D:$D,累计考核费用!X$55)+SUMIFS(考核调整事项表!$E:$E,考核调整事项表!$G:$G,累计考核费用!$B82,考核调整事项表!$F:$F,累计考核费用!X$55)</f>
        <v>0</v>
      </c>
      <c r="Y82" s="302">
        <f>SUMIFS(考核调整事项表!$C:$C,考核调整事项表!$G:$G,累计考核费用!$B82,考核调整事项表!$D:$D,累计考核费用!Y$55)+SUMIFS(考核调整事项表!$E:$E,考核调整事项表!$G:$G,累计考核费用!$B82,考核调整事项表!$F:$F,累计考核费用!Y$55)</f>
        <v>0</v>
      </c>
      <c r="Z82" s="302">
        <f>SUMIFS(考核调整事项表!$C:$C,考核调整事项表!$G:$G,累计考核费用!$B82,考核调整事项表!$D:$D,累计考核费用!Z$55)+SUMIFS(考核调整事项表!$E:$E,考核调整事项表!$G:$G,累计考核费用!$B82,考核调整事项表!$F:$F,累计考核费用!Z$55)</f>
        <v>0</v>
      </c>
      <c r="AA82" s="302">
        <f>SUMIFS(考核调整事项表!$C:$C,考核调整事项表!$G:$G,累计考核费用!$B82,考核调整事项表!$D:$D,累计考核费用!AA$55)+SUMIFS(考核调整事项表!$E:$E,考核调整事项表!$G:$G,累计考核费用!$B82,考核调整事项表!$F:$F,累计考核费用!AA$55)</f>
        <v>0</v>
      </c>
      <c r="AB82" s="302">
        <f>SUMIFS(考核调整事项表!$C:$C,考核调整事项表!$G:$G,累计考核费用!$B82,考核调整事项表!$D:$D,累计考核费用!AB$55)+SUMIFS(考核调整事项表!$E:$E,考核调整事项表!$G:$G,累计考核费用!$B82,考核调整事项表!$F:$F,累计考核费用!AB$55)</f>
        <v>0</v>
      </c>
      <c r="AC82" s="302">
        <f>SUMIFS(考核调整事项表!$C:$C,考核调整事项表!$G:$G,累计考核费用!$B82,考核调整事项表!$D:$D,累计考核费用!AC$55)+SUMIFS(考核调整事项表!$E:$E,考核调整事项表!$G:$G,累计考核费用!$B82,考核调整事项表!$F:$F,累计考核费用!AC$55)</f>
        <v>0</v>
      </c>
    </row>
    <row r="83" spans="1:29">
      <c r="A83" s="19"/>
      <c r="B83" s="57" t="s">
        <v>120</v>
      </c>
      <c r="C83" s="11">
        <f t="shared" si="7"/>
        <v>0</v>
      </c>
      <c r="D83" s="302">
        <f>SUMIFS(考核调整事项表!$C:$C,考核调整事项表!$G:$G,累计考核费用!$B83,考核调整事项表!$D:$D,累计考核费用!D$55)+SUMIFS(考核调整事项表!$E:$E,考核调整事项表!$G:$G,累计考核费用!$B83,考核调整事项表!$F:$F,累计考核费用!D$55)</f>
        <v>0</v>
      </c>
      <c r="E83" s="302">
        <f>SUMIFS(考核调整事项表!$C:$C,考核调整事项表!$G:$G,累计考核费用!$B83,考核调整事项表!$D:$D,累计考核费用!E$55)+SUMIFS(考核调整事项表!$E:$E,考核调整事项表!$G:$G,累计考核费用!$B83,考核调整事项表!$F:$F,累计考核费用!E$55)+H83+S83+AB83+AC83</f>
        <v>0</v>
      </c>
      <c r="F83" s="302">
        <f>SUMIFS(考核调整事项表!$C:$C,考核调整事项表!$G:$G,累计考核费用!$B83,考核调整事项表!$D:$D,累计考核费用!F$55)+SUMIFS(考核调整事项表!$E:$E,考核调整事项表!$G:$G,累计考核费用!$B83,考核调整事项表!$F:$F,累计考核费用!F$55)</f>
        <v>0</v>
      </c>
      <c r="G83" s="302">
        <f t="shared" si="8"/>
        <v>0</v>
      </c>
      <c r="H83" s="302">
        <f>SUMIFS(考核调整事项表!$C:$C,考核调整事项表!$G:$G,累计考核费用!$B83,考核调整事项表!$D:$D,累计考核费用!H$55)+SUMIFS(考核调整事项表!$E:$E,考核调整事项表!$G:$G,累计考核费用!$B83,考核调整事项表!$F:$F,累计考核费用!H$55)</f>
        <v>0</v>
      </c>
      <c r="I83" s="302">
        <f>SUMIFS(考核调整事项表!$C:$C,考核调整事项表!$G:$G,累计考核费用!$B83,考核调整事项表!$D:$D,累计考核费用!I$55)+SUMIFS(考核调整事项表!$E:$E,考核调整事项表!$G:$G,累计考核费用!$B83,考核调整事项表!$F:$F,累计考核费用!I$55)</f>
        <v>0</v>
      </c>
      <c r="J83" s="302">
        <f>SUMIFS(考核调整事项表!$C:$C,考核调整事项表!$G:$G,累计考核费用!$B83,考核调整事项表!$D:$D,累计考核费用!J$55)+SUMIFS(考核调整事项表!$E:$E,考核调整事项表!$G:$G,累计考核费用!$B83,考核调整事项表!$F:$F,累计考核费用!J$55)</f>
        <v>0</v>
      </c>
      <c r="K83" s="302">
        <f>SUMIFS(考核调整事项表!$C:$C,考核调整事项表!$G:$G,累计考核费用!$B83,考核调整事项表!$D:$D,累计考核费用!K$55)+SUMIFS(考核调整事项表!$E:$E,考核调整事项表!$G:$G,累计考核费用!$B83,考核调整事项表!$F:$F,累计考核费用!K$55)</f>
        <v>0</v>
      </c>
      <c r="L83" s="302">
        <f t="shared" si="9"/>
        <v>0</v>
      </c>
      <c r="M83" s="302">
        <f>SUMIFS(考核调整事项表!$C:$C,考核调整事项表!$G:$G,累计考核费用!$B83,考核调整事项表!$D:$D,累计考核费用!M$55)+SUMIFS(考核调整事项表!$E:$E,考核调整事项表!$G:$G,累计考核费用!$B83,考核调整事项表!$F:$F,累计考核费用!M$55)</f>
        <v>0</v>
      </c>
      <c r="N83" s="302">
        <f>SUMIFS(考核调整事项表!$C:$C,考核调整事项表!$G:$G,累计考核费用!$B83,考核调整事项表!$D:$D,累计考核费用!N$55)+SUMIFS(考核调整事项表!$E:$E,考核调整事项表!$G:$G,累计考核费用!$B83,考核调整事项表!$F:$F,累计考核费用!N$55)</f>
        <v>0</v>
      </c>
      <c r="O83" s="302">
        <f>SUMIFS(考核调整事项表!$C:$C,考核调整事项表!$G:$G,累计考核费用!$B83,考核调整事项表!$D:$D,累计考核费用!O$55)+SUMIFS(考核调整事项表!$E:$E,考核调整事项表!$G:$G,累计考核费用!$B83,考核调整事项表!$F:$F,累计考核费用!O$55)</f>
        <v>0</v>
      </c>
      <c r="P83" s="302">
        <f>SUMIFS(考核调整事项表!$C:$C,考核调整事项表!$G:$G,累计考核费用!$B83,考核调整事项表!$D:$D,累计考核费用!P$55)+SUMIFS(考核调整事项表!$E:$E,考核调整事项表!$G:$G,累计考核费用!$B83,考核调整事项表!$F:$F,累计考核费用!P$55)</f>
        <v>0</v>
      </c>
      <c r="Q83" s="302">
        <f>SUMIFS(考核调整事项表!$C:$C,考核调整事项表!$G:$G,累计考核费用!$B83,考核调整事项表!$D:$D,累计考核费用!Q$55)+SUMIFS(考核调整事项表!$E:$E,考核调整事项表!$G:$G,累计考核费用!$B83,考核调整事项表!$F:$F,累计考核费用!Q$55)</f>
        <v>0</v>
      </c>
      <c r="R83" s="302">
        <f>SUMIFS(考核调整事项表!$C:$C,考核调整事项表!$G:$G,累计考核费用!$B83,考核调整事项表!$D:$D,累计考核费用!R$55)+SUMIFS(考核调整事项表!$E:$E,考核调整事项表!$G:$G,累计考核费用!$B83,考核调整事项表!$F:$F,累计考核费用!R$55)</f>
        <v>0</v>
      </c>
      <c r="S83" s="302">
        <f>SUMIFS(考核调整事项表!$C:$C,考核调整事项表!$G:$G,累计考核费用!$B83,考核调整事项表!$D:$D,累计考核费用!S$55)+SUMIFS(考核调整事项表!$E:$E,考核调整事项表!$G:$G,累计考核费用!$B83,考核调整事项表!$F:$F,累计考核费用!S$55)</f>
        <v>0</v>
      </c>
      <c r="T83" s="305">
        <f t="shared" si="13"/>
        <v>0</v>
      </c>
      <c r="U83" s="302">
        <f>SUMIFS(考核调整事项表!$C:$C,考核调整事项表!$G:$G,累计考核费用!$B83,考核调整事项表!$D:$D,累计考核费用!U$55)+SUMIFS(考核调整事项表!$E:$E,考核调整事项表!$G:$G,累计考核费用!$B83,考核调整事项表!$F:$F,累计考核费用!U$55)</f>
        <v>0</v>
      </c>
      <c r="V83" s="302">
        <f>SUMIFS(考核调整事项表!$C:$C,考核调整事项表!$G:$G,累计考核费用!$B83,考核调整事项表!$D:$D,累计考核费用!V$55)+SUMIFS(考核调整事项表!$E:$E,考核调整事项表!$G:$G,累计考核费用!$B83,考核调整事项表!$F:$F,累计考核费用!V$55)</f>
        <v>0</v>
      </c>
      <c r="W83" s="302">
        <f>SUMIFS(考核调整事项表!$C:$C,考核调整事项表!$G:$G,累计考核费用!$B83,考核调整事项表!$D:$D,累计考核费用!W$55)+SUMIFS(考核调整事项表!$E:$E,考核调整事项表!$G:$G,累计考核费用!$B83,考核调整事项表!$F:$F,累计考核费用!W$55)</f>
        <v>0</v>
      </c>
      <c r="X83" s="302">
        <f>SUMIFS(考核调整事项表!$C:$C,考核调整事项表!$G:$G,累计考核费用!$B83,考核调整事项表!$D:$D,累计考核费用!X$55)+SUMIFS(考核调整事项表!$E:$E,考核调整事项表!$G:$G,累计考核费用!$B83,考核调整事项表!$F:$F,累计考核费用!X$55)</f>
        <v>0</v>
      </c>
      <c r="Y83" s="302">
        <f>SUMIFS(考核调整事项表!$C:$C,考核调整事项表!$G:$G,累计考核费用!$B83,考核调整事项表!$D:$D,累计考核费用!Y$55)+SUMIFS(考核调整事项表!$E:$E,考核调整事项表!$G:$G,累计考核费用!$B83,考核调整事项表!$F:$F,累计考核费用!Y$55)</f>
        <v>0</v>
      </c>
      <c r="Z83" s="302">
        <f>SUMIFS(考核调整事项表!$C:$C,考核调整事项表!$G:$G,累计考核费用!$B83,考核调整事项表!$D:$D,累计考核费用!Z$55)+SUMIFS(考核调整事项表!$E:$E,考核调整事项表!$G:$G,累计考核费用!$B83,考核调整事项表!$F:$F,累计考核费用!Z$55)</f>
        <v>0</v>
      </c>
      <c r="AA83" s="302">
        <f>SUMIFS(考核调整事项表!$C:$C,考核调整事项表!$G:$G,累计考核费用!$B83,考核调整事项表!$D:$D,累计考核费用!AA$55)+SUMIFS(考核调整事项表!$E:$E,考核调整事项表!$G:$G,累计考核费用!$B83,考核调整事项表!$F:$F,累计考核费用!AA$55)</f>
        <v>0</v>
      </c>
      <c r="AB83" s="302">
        <f>SUMIFS(考核调整事项表!$C:$C,考核调整事项表!$G:$G,累计考核费用!$B83,考核调整事项表!$D:$D,累计考核费用!AB$55)+SUMIFS(考核调整事项表!$E:$E,考核调整事项表!$G:$G,累计考核费用!$B83,考核调整事项表!$F:$F,累计考核费用!AB$55)</f>
        <v>0</v>
      </c>
      <c r="AC83" s="302">
        <f>SUMIFS(考核调整事项表!$C:$C,考核调整事项表!$G:$G,累计考核费用!$B83,考核调整事项表!$D:$D,累计考核费用!AC$55)+SUMIFS(考核调整事项表!$E:$E,考核调整事项表!$G:$G,累计考核费用!$B83,考核调整事项表!$F:$F,累计考核费用!AC$55)</f>
        <v>0</v>
      </c>
    </row>
    <row r="84" spans="1:29">
      <c r="A84" s="19"/>
      <c r="B84" s="57" t="s">
        <v>121</v>
      </c>
      <c r="C84" s="11">
        <f t="shared" si="7"/>
        <v>0</v>
      </c>
      <c r="D84" s="302">
        <f>SUMIFS(考核调整事项表!$C:$C,考核调整事项表!$G:$G,累计考核费用!$B84,考核调整事项表!$D:$D,累计考核费用!D$55)+SUMIFS(考核调整事项表!$E:$E,考核调整事项表!$G:$G,累计考核费用!$B84,考核调整事项表!$F:$F,累计考核费用!D$55)</f>
        <v>0</v>
      </c>
      <c r="E84" s="302">
        <f>SUMIFS(考核调整事项表!$C:$C,考核调整事项表!$G:$G,累计考核费用!$B84,考核调整事项表!$D:$D,累计考核费用!E$55)+SUMIFS(考核调整事项表!$E:$E,考核调整事项表!$G:$G,累计考核费用!$B84,考核调整事项表!$F:$F,累计考核费用!E$55)+H84+S84+AB84+AC84</f>
        <v>0</v>
      </c>
      <c r="F84" s="302">
        <f>SUMIFS(考核调整事项表!$C:$C,考核调整事项表!$G:$G,累计考核费用!$B84,考核调整事项表!$D:$D,累计考核费用!F$55)+SUMIFS(考核调整事项表!$E:$E,考核调整事项表!$G:$G,累计考核费用!$B84,考核调整事项表!$F:$F,累计考核费用!F$55)</f>
        <v>0</v>
      </c>
      <c r="G84" s="302">
        <f t="shared" si="8"/>
        <v>0</v>
      </c>
      <c r="H84" s="302">
        <f>SUMIFS(考核调整事项表!$C:$C,考核调整事项表!$G:$G,累计考核费用!$B84,考核调整事项表!$D:$D,累计考核费用!H$55)+SUMIFS(考核调整事项表!$E:$E,考核调整事项表!$G:$G,累计考核费用!$B84,考核调整事项表!$F:$F,累计考核费用!H$55)</f>
        <v>0</v>
      </c>
      <c r="I84" s="302">
        <f>SUMIFS(考核调整事项表!$C:$C,考核调整事项表!$G:$G,累计考核费用!$B84,考核调整事项表!$D:$D,累计考核费用!I$55)+SUMIFS(考核调整事项表!$E:$E,考核调整事项表!$G:$G,累计考核费用!$B84,考核调整事项表!$F:$F,累计考核费用!I$55)</f>
        <v>0</v>
      </c>
      <c r="J84" s="302">
        <f>SUMIFS(考核调整事项表!$C:$C,考核调整事项表!$G:$G,累计考核费用!$B84,考核调整事项表!$D:$D,累计考核费用!J$55)+SUMIFS(考核调整事项表!$E:$E,考核调整事项表!$G:$G,累计考核费用!$B84,考核调整事项表!$F:$F,累计考核费用!J$55)</f>
        <v>0</v>
      </c>
      <c r="K84" s="302">
        <f>SUMIFS(考核调整事项表!$C:$C,考核调整事项表!$G:$G,累计考核费用!$B84,考核调整事项表!$D:$D,累计考核费用!K$55)+SUMIFS(考核调整事项表!$E:$E,考核调整事项表!$G:$G,累计考核费用!$B84,考核调整事项表!$F:$F,累计考核费用!K$55)</f>
        <v>0</v>
      </c>
      <c r="L84" s="302">
        <f t="shared" si="9"/>
        <v>0</v>
      </c>
      <c r="M84" s="302">
        <f>SUMIFS(考核调整事项表!$C:$C,考核调整事项表!$G:$G,累计考核费用!$B84,考核调整事项表!$D:$D,累计考核费用!M$55)+SUMIFS(考核调整事项表!$E:$E,考核调整事项表!$G:$G,累计考核费用!$B84,考核调整事项表!$F:$F,累计考核费用!M$55)</f>
        <v>0</v>
      </c>
      <c r="N84" s="302">
        <f>SUMIFS(考核调整事项表!$C:$C,考核调整事项表!$G:$G,累计考核费用!$B84,考核调整事项表!$D:$D,累计考核费用!N$55)+SUMIFS(考核调整事项表!$E:$E,考核调整事项表!$G:$G,累计考核费用!$B84,考核调整事项表!$F:$F,累计考核费用!N$55)</f>
        <v>0</v>
      </c>
      <c r="O84" s="302">
        <f>SUMIFS(考核调整事项表!$C:$C,考核调整事项表!$G:$G,累计考核费用!$B84,考核调整事项表!$D:$D,累计考核费用!O$55)+SUMIFS(考核调整事项表!$E:$E,考核调整事项表!$G:$G,累计考核费用!$B84,考核调整事项表!$F:$F,累计考核费用!O$55)</f>
        <v>0</v>
      </c>
      <c r="P84" s="302">
        <f>SUMIFS(考核调整事项表!$C:$C,考核调整事项表!$G:$G,累计考核费用!$B84,考核调整事项表!$D:$D,累计考核费用!P$55)+SUMIFS(考核调整事项表!$E:$E,考核调整事项表!$G:$G,累计考核费用!$B84,考核调整事项表!$F:$F,累计考核费用!P$55)</f>
        <v>0</v>
      </c>
      <c r="Q84" s="302">
        <f>SUMIFS(考核调整事项表!$C:$C,考核调整事项表!$G:$G,累计考核费用!$B84,考核调整事项表!$D:$D,累计考核费用!Q$55)+SUMIFS(考核调整事项表!$E:$E,考核调整事项表!$G:$G,累计考核费用!$B84,考核调整事项表!$F:$F,累计考核费用!Q$55)</f>
        <v>0</v>
      </c>
      <c r="R84" s="302">
        <f>SUMIFS(考核调整事项表!$C:$C,考核调整事项表!$G:$G,累计考核费用!$B84,考核调整事项表!$D:$D,累计考核费用!R$55)+SUMIFS(考核调整事项表!$E:$E,考核调整事项表!$G:$G,累计考核费用!$B84,考核调整事项表!$F:$F,累计考核费用!R$55)</f>
        <v>0</v>
      </c>
      <c r="S84" s="302">
        <f>SUMIFS(考核调整事项表!$C:$C,考核调整事项表!$G:$G,累计考核费用!$B84,考核调整事项表!$D:$D,累计考核费用!S$55)+SUMIFS(考核调整事项表!$E:$E,考核调整事项表!$G:$G,累计考核费用!$B84,考核调整事项表!$F:$F,累计考核费用!S$55)</f>
        <v>0</v>
      </c>
      <c r="T84" s="305">
        <f t="shared" si="13"/>
        <v>0</v>
      </c>
      <c r="U84" s="302">
        <f>SUMIFS(考核调整事项表!$C:$C,考核调整事项表!$G:$G,累计考核费用!$B84,考核调整事项表!$D:$D,累计考核费用!U$55)+SUMIFS(考核调整事项表!$E:$E,考核调整事项表!$G:$G,累计考核费用!$B84,考核调整事项表!$F:$F,累计考核费用!U$55)</f>
        <v>0</v>
      </c>
      <c r="V84" s="302">
        <f>SUMIFS(考核调整事项表!$C:$C,考核调整事项表!$G:$G,累计考核费用!$B84,考核调整事项表!$D:$D,累计考核费用!V$55)+SUMIFS(考核调整事项表!$E:$E,考核调整事项表!$G:$G,累计考核费用!$B84,考核调整事项表!$F:$F,累计考核费用!V$55)</f>
        <v>0</v>
      </c>
      <c r="W84" s="302">
        <f>SUMIFS(考核调整事项表!$C:$C,考核调整事项表!$G:$G,累计考核费用!$B84,考核调整事项表!$D:$D,累计考核费用!W$55)+SUMIFS(考核调整事项表!$E:$E,考核调整事项表!$G:$G,累计考核费用!$B84,考核调整事项表!$F:$F,累计考核费用!W$55)</f>
        <v>0</v>
      </c>
      <c r="X84" s="302">
        <f>SUMIFS(考核调整事项表!$C:$C,考核调整事项表!$G:$G,累计考核费用!$B84,考核调整事项表!$D:$D,累计考核费用!X$55)+SUMIFS(考核调整事项表!$E:$E,考核调整事项表!$G:$G,累计考核费用!$B84,考核调整事项表!$F:$F,累计考核费用!X$55)</f>
        <v>0</v>
      </c>
      <c r="Y84" s="302">
        <f>SUMIFS(考核调整事项表!$C:$C,考核调整事项表!$G:$G,累计考核费用!$B84,考核调整事项表!$D:$D,累计考核费用!Y$55)+SUMIFS(考核调整事项表!$E:$E,考核调整事项表!$G:$G,累计考核费用!$B84,考核调整事项表!$F:$F,累计考核费用!Y$55)</f>
        <v>0</v>
      </c>
      <c r="Z84" s="302">
        <f>SUMIFS(考核调整事项表!$C:$C,考核调整事项表!$G:$G,累计考核费用!$B84,考核调整事项表!$D:$D,累计考核费用!Z$55)+SUMIFS(考核调整事项表!$E:$E,考核调整事项表!$G:$G,累计考核费用!$B84,考核调整事项表!$F:$F,累计考核费用!Z$55)</f>
        <v>0</v>
      </c>
      <c r="AA84" s="302">
        <f>SUMIFS(考核调整事项表!$C:$C,考核调整事项表!$G:$G,累计考核费用!$B84,考核调整事项表!$D:$D,累计考核费用!AA$55)+SUMIFS(考核调整事项表!$E:$E,考核调整事项表!$G:$G,累计考核费用!$B84,考核调整事项表!$F:$F,累计考核费用!AA$55)</f>
        <v>0</v>
      </c>
      <c r="AB84" s="302">
        <f>SUMIFS(考核调整事项表!$C:$C,考核调整事项表!$G:$G,累计考核费用!$B84,考核调整事项表!$D:$D,累计考核费用!AB$55)+SUMIFS(考核调整事项表!$E:$E,考核调整事项表!$G:$G,累计考核费用!$B84,考核调整事项表!$F:$F,累计考核费用!AB$55)</f>
        <v>0</v>
      </c>
      <c r="AC84" s="302">
        <f>SUMIFS(考核调整事项表!$C:$C,考核调整事项表!$G:$G,累计考核费用!$B84,考核调整事项表!$D:$D,累计考核费用!AC$55)+SUMIFS(考核调整事项表!$E:$E,考核调整事项表!$G:$G,累计考核费用!$B84,考核调整事项表!$F:$F,累计考核费用!AC$55)</f>
        <v>0</v>
      </c>
    </row>
    <row r="85" spans="1:29">
      <c r="A85" s="19"/>
      <c r="B85" s="57" t="s">
        <v>122</v>
      </c>
      <c r="C85" s="11">
        <f t="shared" si="7"/>
        <v>0</v>
      </c>
      <c r="D85" s="302">
        <f>SUMIFS(考核调整事项表!$C:$C,考核调整事项表!$G:$G,累计考核费用!$B85,考核调整事项表!$D:$D,累计考核费用!D$55)+SUMIFS(考核调整事项表!$E:$E,考核调整事项表!$G:$G,累计考核费用!$B85,考核调整事项表!$F:$F,累计考核费用!D$55)</f>
        <v>0</v>
      </c>
      <c r="E85" s="302">
        <f>SUMIFS(考核调整事项表!$C:$C,考核调整事项表!$G:$G,累计考核费用!$B85,考核调整事项表!$D:$D,累计考核费用!E$55)+SUMIFS(考核调整事项表!$E:$E,考核调整事项表!$G:$G,累计考核费用!$B85,考核调整事项表!$F:$F,累计考核费用!E$55)+H85+S85+AB85+AC85</f>
        <v>0</v>
      </c>
      <c r="F85" s="302">
        <f>SUMIFS(考核调整事项表!$C:$C,考核调整事项表!$G:$G,累计考核费用!$B85,考核调整事项表!$D:$D,累计考核费用!F$55)+SUMIFS(考核调整事项表!$E:$E,考核调整事项表!$G:$G,累计考核费用!$B85,考核调整事项表!$F:$F,累计考核费用!F$55)</f>
        <v>0</v>
      </c>
      <c r="G85" s="302">
        <f t="shared" si="8"/>
        <v>0</v>
      </c>
      <c r="H85" s="302">
        <f>SUMIFS(考核调整事项表!$C:$C,考核调整事项表!$G:$G,累计考核费用!$B85,考核调整事项表!$D:$D,累计考核费用!H$55)+SUMIFS(考核调整事项表!$E:$E,考核调整事项表!$G:$G,累计考核费用!$B85,考核调整事项表!$F:$F,累计考核费用!H$55)</f>
        <v>0</v>
      </c>
      <c r="I85" s="302">
        <f>SUMIFS(考核调整事项表!$C:$C,考核调整事项表!$G:$G,累计考核费用!$B85,考核调整事项表!$D:$D,累计考核费用!I$55)+SUMIFS(考核调整事项表!$E:$E,考核调整事项表!$G:$G,累计考核费用!$B85,考核调整事项表!$F:$F,累计考核费用!I$55)</f>
        <v>0</v>
      </c>
      <c r="J85" s="302">
        <f>SUMIFS(考核调整事项表!$C:$C,考核调整事项表!$G:$G,累计考核费用!$B85,考核调整事项表!$D:$D,累计考核费用!J$55)+SUMIFS(考核调整事项表!$E:$E,考核调整事项表!$G:$G,累计考核费用!$B85,考核调整事项表!$F:$F,累计考核费用!J$55)</f>
        <v>0</v>
      </c>
      <c r="K85" s="302">
        <f>SUMIFS(考核调整事项表!$C:$C,考核调整事项表!$G:$G,累计考核费用!$B85,考核调整事项表!$D:$D,累计考核费用!K$55)+SUMIFS(考核调整事项表!$E:$E,考核调整事项表!$G:$G,累计考核费用!$B85,考核调整事项表!$F:$F,累计考核费用!K$55)</f>
        <v>0</v>
      </c>
      <c r="L85" s="302">
        <f t="shared" si="9"/>
        <v>0</v>
      </c>
      <c r="M85" s="302">
        <f>SUMIFS(考核调整事项表!$C:$C,考核调整事项表!$G:$G,累计考核费用!$B85,考核调整事项表!$D:$D,累计考核费用!M$55)+SUMIFS(考核调整事项表!$E:$E,考核调整事项表!$G:$G,累计考核费用!$B85,考核调整事项表!$F:$F,累计考核费用!M$55)</f>
        <v>0</v>
      </c>
      <c r="N85" s="302">
        <f>SUMIFS(考核调整事项表!$C:$C,考核调整事项表!$G:$G,累计考核费用!$B85,考核调整事项表!$D:$D,累计考核费用!N$55)+SUMIFS(考核调整事项表!$E:$E,考核调整事项表!$G:$G,累计考核费用!$B85,考核调整事项表!$F:$F,累计考核费用!N$55)</f>
        <v>0</v>
      </c>
      <c r="O85" s="302">
        <f>SUMIFS(考核调整事项表!$C:$C,考核调整事项表!$G:$G,累计考核费用!$B85,考核调整事项表!$D:$D,累计考核费用!O$55)+SUMIFS(考核调整事项表!$E:$E,考核调整事项表!$G:$G,累计考核费用!$B85,考核调整事项表!$F:$F,累计考核费用!O$55)</f>
        <v>0</v>
      </c>
      <c r="P85" s="302">
        <f>SUMIFS(考核调整事项表!$C:$C,考核调整事项表!$G:$G,累计考核费用!$B85,考核调整事项表!$D:$D,累计考核费用!P$55)+SUMIFS(考核调整事项表!$E:$E,考核调整事项表!$G:$G,累计考核费用!$B85,考核调整事项表!$F:$F,累计考核费用!P$55)</f>
        <v>0</v>
      </c>
      <c r="Q85" s="302">
        <f>SUMIFS(考核调整事项表!$C:$C,考核调整事项表!$G:$G,累计考核费用!$B85,考核调整事项表!$D:$D,累计考核费用!Q$55)+SUMIFS(考核调整事项表!$E:$E,考核调整事项表!$G:$G,累计考核费用!$B85,考核调整事项表!$F:$F,累计考核费用!Q$55)</f>
        <v>0</v>
      </c>
      <c r="R85" s="302">
        <f>SUMIFS(考核调整事项表!$C:$C,考核调整事项表!$G:$G,累计考核费用!$B85,考核调整事项表!$D:$D,累计考核费用!R$55)+SUMIFS(考核调整事项表!$E:$E,考核调整事项表!$G:$G,累计考核费用!$B85,考核调整事项表!$F:$F,累计考核费用!R$55)</f>
        <v>0</v>
      </c>
      <c r="S85" s="302">
        <f>SUMIFS(考核调整事项表!$C:$C,考核调整事项表!$G:$G,累计考核费用!$B85,考核调整事项表!$D:$D,累计考核费用!S$55)+SUMIFS(考核调整事项表!$E:$E,考核调整事项表!$G:$G,累计考核费用!$B85,考核调整事项表!$F:$F,累计考核费用!S$55)</f>
        <v>0</v>
      </c>
      <c r="T85" s="305">
        <f t="shared" si="13"/>
        <v>0</v>
      </c>
      <c r="U85" s="302">
        <f>SUMIFS(考核调整事项表!$C:$C,考核调整事项表!$G:$G,累计考核费用!$B85,考核调整事项表!$D:$D,累计考核费用!U$55)+SUMIFS(考核调整事项表!$E:$E,考核调整事项表!$G:$G,累计考核费用!$B85,考核调整事项表!$F:$F,累计考核费用!U$55)</f>
        <v>0</v>
      </c>
      <c r="V85" s="302">
        <f>SUMIFS(考核调整事项表!$C:$C,考核调整事项表!$G:$G,累计考核费用!$B85,考核调整事项表!$D:$D,累计考核费用!V$55)+SUMIFS(考核调整事项表!$E:$E,考核调整事项表!$G:$G,累计考核费用!$B85,考核调整事项表!$F:$F,累计考核费用!V$55)</f>
        <v>0</v>
      </c>
      <c r="W85" s="302">
        <f>SUMIFS(考核调整事项表!$C:$C,考核调整事项表!$G:$G,累计考核费用!$B85,考核调整事项表!$D:$D,累计考核费用!W$55)+SUMIFS(考核调整事项表!$E:$E,考核调整事项表!$G:$G,累计考核费用!$B85,考核调整事项表!$F:$F,累计考核费用!W$55)</f>
        <v>0</v>
      </c>
      <c r="X85" s="302">
        <f>SUMIFS(考核调整事项表!$C:$C,考核调整事项表!$G:$G,累计考核费用!$B85,考核调整事项表!$D:$D,累计考核费用!X$55)+SUMIFS(考核调整事项表!$E:$E,考核调整事项表!$G:$G,累计考核费用!$B85,考核调整事项表!$F:$F,累计考核费用!X$55)</f>
        <v>0</v>
      </c>
      <c r="Y85" s="302">
        <f>SUMIFS(考核调整事项表!$C:$C,考核调整事项表!$G:$G,累计考核费用!$B85,考核调整事项表!$D:$D,累计考核费用!Y$55)+SUMIFS(考核调整事项表!$E:$E,考核调整事项表!$G:$G,累计考核费用!$B85,考核调整事项表!$F:$F,累计考核费用!Y$55)</f>
        <v>0</v>
      </c>
      <c r="Z85" s="302">
        <f>SUMIFS(考核调整事项表!$C:$C,考核调整事项表!$G:$G,累计考核费用!$B85,考核调整事项表!$D:$D,累计考核费用!Z$55)+SUMIFS(考核调整事项表!$E:$E,考核调整事项表!$G:$G,累计考核费用!$B85,考核调整事项表!$F:$F,累计考核费用!Z$55)</f>
        <v>0</v>
      </c>
      <c r="AA85" s="302">
        <f>SUMIFS(考核调整事项表!$C:$C,考核调整事项表!$G:$G,累计考核费用!$B85,考核调整事项表!$D:$D,累计考核费用!AA$55)+SUMIFS(考核调整事项表!$E:$E,考核调整事项表!$G:$G,累计考核费用!$B85,考核调整事项表!$F:$F,累计考核费用!AA$55)</f>
        <v>0</v>
      </c>
      <c r="AB85" s="302">
        <f>SUMIFS(考核调整事项表!$C:$C,考核调整事项表!$G:$G,累计考核费用!$B85,考核调整事项表!$D:$D,累计考核费用!AB$55)+SUMIFS(考核调整事项表!$E:$E,考核调整事项表!$G:$G,累计考核费用!$B85,考核调整事项表!$F:$F,累计考核费用!AB$55)</f>
        <v>0</v>
      </c>
      <c r="AC85" s="302">
        <f>SUMIFS(考核调整事项表!$C:$C,考核调整事项表!$G:$G,累计考核费用!$B85,考核调整事项表!$D:$D,累计考核费用!AC$55)+SUMIFS(考核调整事项表!$E:$E,考核调整事项表!$G:$G,累计考核费用!$B85,考核调整事项表!$F:$F,累计考核费用!AC$55)</f>
        <v>0</v>
      </c>
    </row>
    <row r="86" spans="1:29">
      <c r="A86" s="20"/>
      <c r="B86" s="69" t="s">
        <v>102</v>
      </c>
      <c r="C86" s="306">
        <f t="shared" si="7"/>
        <v>0</v>
      </c>
      <c r="D86" s="306">
        <f t="shared" ref="D86:AC86" si="14">SUM(D73:D85)</f>
        <v>871387.98</v>
      </c>
      <c r="E86" s="306">
        <f t="shared" si="14"/>
        <v>-1115999.45</v>
      </c>
      <c r="F86" s="306">
        <f t="shared" si="14"/>
        <v>-200021.55</v>
      </c>
      <c r="G86" s="306">
        <f t="shared" si="14"/>
        <v>-844590.48</v>
      </c>
      <c r="H86" s="306">
        <f t="shared" si="14"/>
        <v>-278578.97</v>
      </c>
      <c r="I86" s="306">
        <f t="shared" si="14"/>
        <v>24700</v>
      </c>
      <c r="J86" s="306">
        <f t="shared" si="14"/>
        <v>2097.5</v>
      </c>
      <c r="K86" s="306">
        <f t="shared" si="14"/>
        <v>-871387.98</v>
      </c>
      <c r="L86" s="306">
        <f t="shared" si="14"/>
        <v>57313.5</v>
      </c>
      <c r="M86" s="306">
        <f t="shared" si="14"/>
        <v>2097.5</v>
      </c>
      <c r="N86" s="306">
        <f t="shared" si="14"/>
        <v>7872.5</v>
      </c>
      <c r="O86" s="306">
        <f t="shared" si="14"/>
        <v>2097.5</v>
      </c>
      <c r="P86" s="306">
        <f t="shared" si="14"/>
        <v>14212</v>
      </c>
      <c r="Q86" s="306">
        <f t="shared" si="14"/>
        <v>2328</v>
      </c>
      <c r="R86" s="306">
        <f t="shared" si="14"/>
        <v>28706</v>
      </c>
      <c r="S86" s="306">
        <f t="shared" si="14"/>
        <v>0</v>
      </c>
      <c r="T86" s="306">
        <f t="shared" si="14"/>
        <v>1231910</v>
      </c>
      <c r="U86" s="306">
        <f t="shared" si="14"/>
        <v>154360</v>
      </c>
      <c r="V86" s="306">
        <f t="shared" si="14"/>
        <v>931112</v>
      </c>
      <c r="W86" s="306">
        <f t="shared" si="14"/>
        <v>-17905.15</v>
      </c>
      <c r="X86" s="306">
        <f t="shared" si="14"/>
        <v>0</v>
      </c>
      <c r="Y86" s="306">
        <f t="shared" si="14"/>
        <v>0</v>
      </c>
      <c r="Z86" s="306">
        <f t="shared" si="14"/>
        <v>0</v>
      </c>
      <c r="AA86" s="306">
        <f t="shared" si="14"/>
        <v>164343.15</v>
      </c>
      <c r="AB86" s="306">
        <f t="shared" si="14"/>
        <v>0</v>
      </c>
      <c r="AC86" s="306">
        <f t="shared" si="14"/>
        <v>0</v>
      </c>
    </row>
    <row r="87" customHeight="1" spans="1:29">
      <c r="A87" s="18" t="s">
        <v>123</v>
      </c>
      <c r="B87" s="57" t="s">
        <v>124</v>
      </c>
      <c r="C87" s="11">
        <f t="shared" si="7"/>
        <v>0</v>
      </c>
      <c r="D87" s="302">
        <f>SUMIFS(考核调整事项表!$C:$C,考核调整事项表!$G:$G,累计考核费用!$B87,考核调整事项表!$D:$D,累计考核费用!D$55)+SUMIFS(考核调整事项表!$E:$E,考核调整事项表!$G:$G,累计考核费用!$B87,考核调整事项表!$F:$F,累计考核费用!D$55)</f>
        <v>0</v>
      </c>
      <c r="E87" s="302">
        <f>SUMIFS(考核调整事项表!$C:$C,考核调整事项表!$G:$G,累计考核费用!$B87,考核调整事项表!$D:$D,累计考核费用!E$55)+SUMIFS(考核调整事项表!$E:$E,考核调整事项表!$G:$G,累计考核费用!$B87,考核调整事项表!$F:$F,累计考核费用!E$55)+H87+S87+AB87+AC87</f>
        <v>0</v>
      </c>
      <c r="F87" s="302">
        <f>SUMIFS(考核调整事项表!$C:$C,考核调整事项表!$G:$G,累计考核费用!$B87,考核调整事项表!$D:$D,累计考核费用!F$55)+SUMIFS(考核调整事项表!$E:$E,考核调整事项表!$G:$G,累计考核费用!$B87,考核调整事项表!$F:$F,累计考核费用!F$55)</f>
        <v>0</v>
      </c>
      <c r="G87" s="302">
        <f t="shared" si="8"/>
        <v>0</v>
      </c>
      <c r="H87" s="302">
        <f>SUMIFS(考核调整事项表!$C:$C,考核调整事项表!$G:$G,累计考核费用!$B87,考核调整事项表!$D:$D,累计考核费用!H$55)+SUMIFS(考核调整事项表!$E:$E,考核调整事项表!$G:$G,累计考核费用!$B87,考核调整事项表!$F:$F,累计考核费用!H$55)</f>
        <v>0</v>
      </c>
      <c r="I87" s="302">
        <f>SUMIFS(考核调整事项表!$C:$C,考核调整事项表!$G:$G,累计考核费用!$B87,考核调整事项表!$D:$D,累计考核费用!I$55)+SUMIFS(考核调整事项表!$E:$E,考核调整事项表!$G:$G,累计考核费用!$B87,考核调整事项表!$F:$F,累计考核费用!I$55)</f>
        <v>0</v>
      </c>
      <c r="J87" s="302">
        <f>SUMIFS(考核调整事项表!$C:$C,考核调整事项表!$G:$G,累计考核费用!$B87,考核调整事项表!$D:$D,累计考核费用!J$55)+SUMIFS(考核调整事项表!$E:$E,考核调整事项表!$G:$G,累计考核费用!$B87,考核调整事项表!$F:$F,累计考核费用!J$55)</f>
        <v>0</v>
      </c>
      <c r="K87" s="302">
        <f>SUMIFS(考核调整事项表!$C:$C,考核调整事项表!$G:$G,累计考核费用!$B87,考核调整事项表!$D:$D,累计考核费用!K$55)+SUMIFS(考核调整事项表!$E:$E,考核调整事项表!$G:$G,累计考核费用!$B87,考核调整事项表!$F:$F,累计考核费用!K$55)</f>
        <v>0</v>
      </c>
      <c r="L87" s="302">
        <f t="shared" si="9"/>
        <v>0</v>
      </c>
      <c r="M87" s="302">
        <f>SUMIFS(考核调整事项表!$C:$C,考核调整事项表!$G:$G,累计考核费用!$B87,考核调整事项表!$D:$D,累计考核费用!M$55)+SUMIFS(考核调整事项表!$E:$E,考核调整事项表!$G:$G,累计考核费用!$B87,考核调整事项表!$F:$F,累计考核费用!M$55)</f>
        <v>0</v>
      </c>
      <c r="N87" s="302">
        <f>SUMIFS(考核调整事项表!$C:$C,考核调整事项表!$G:$G,累计考核费用!$B87,考核调整事项表!$D:$D,累计考核费用!N$55)+SUMIFS(考核调整事项表!$E:$E,考核调整事项表!$G:$G,累计考核费用!$B87,考核调整事项表!$F:$F,累计考核费用!N$55)</f>
        <v>0</v>
      </c>
      <c r="O87" s="302">
        <f>SUMIFS(考核调整事项表!$C:$C,考核调整事项表!$G:$G,累计考核费用!$B87,考核调整事项表!$D:$D,累计考核费用!O$55)+SUMIFS(考核调整事项表!$E:$E,考核调整事项表!$G:$G,累计考核费用!$B87,考核调整事项表!$F:$F,累计考核费用!O$55)</f>
        <v>0</v>
      </c>
      <c r="P87" s="302">
        <f>SUMIFS(考核调整事项表!$C:$C,考核调整事项表!$G:$G,累计考核费用!$B87,考核调整事项表!$D:$D,累计考核费用!P$55)+SUMIFS(考核调整事项表!$E:$E,考核调整事项表!$G:$G,累计考核费用!$B87,考核调整事项表!$F:$F,累计考核费用!P$55)</f>
        <v>0</v>
      </c>
      <c r="Q87" s="302">
        <f>SUMIFS(考核调整事项表!$C:$C,考核调整事项表!$G:$G,累计考核费用!$B87,考核调整事项表!$D:$D,累计考核费用!Q$55)+SUMIFS(考核调整事项表!$E:$E,考核调整事项表!$G:$G,累计考核费用!$B87,考核调整事项表!$F:$F,累计考核费用!Q$55)</f>
        <v>0</v>
      </c>
      <c r="R87" s="302">
        <f>SUMIFS(考核调整事项表!$C:$C,考核调整事项表!$G:$G,累计考核费用!$B87,考核调整事项表!$D:$D,累计考核费用!R$55)+SUMIFS(考核调整事项表!$E:$E,考核调整事项表!$G:$G,累计考核费用!$B87,考核调整事项表!$F:$F,累计考核费用!R$55)</f>
        <v>0</v>
      </c>
      <c r="S87" s="302">
        <f>SUMIFS(考核调整事项表!$C:$C,考核调整事项表!$G:$G,累计考核费用!$B87,考核调整事项表!$D:$D,累计考核费用!S$55)+SUMIFS(考核调整事项表!$E:$E,考核调整事项表!$G:$G,累计考核费用!$B87,考核调整事项表!$F:$F,累计考核费用!S$55)</f>
        <v>0</v>
      </c>
      <c r="T87" s="305">
        <f>SUM(U87:AA87)</f>
        <v>0</v>
      </c>
      <c r="U87" s="302">
        <f>SUMIFS(考核调整事项表!$C:$C,考核调整事项表!$G:$G,累计考核费用!$B87,考核调整事项表!$D:$D,累计考核费用!U$55)+SUMIFS(考核调整事项表!$E:$E,考核调整事项表!$G:$G,累计考核费用!$B87,考核调整事项表!$F:$F,累计考核费用!U$55)</f>
        <v>0</v>
      </c>
      <c r="V87" s="302">
        <f>SUMIFS(考核调整事项表!$C:$C,考核调整事项表!$G:$G,累计考核费用!$B87,考核调整事项表!$D:$D,累计考核费用!V$55)+SUMIFS(考核调整事项表!$E:$E,考核调整事项表!$G:$G,累计考核费用!$B87,考核调整事项表!$F:$F,累计考核费用!V$55)</f>
        <v>0</v>
      </c>
      <c r="W87" s="302">
        <f>SUMIFS(考核调整事项表!$C:$C,考核调整事项表!$G:$G,累计考核费用!$B87,考核调整事项表!$D:$D,累计考核费用!W$55)+SUMIFS(考核调整事项表!$E:$E,考核调整事项表!$G:$G,累计考核费用!$B87,考核调整事项表!$F:$F,累计考核费用!W$55)</f>
        <v>0</v>
      </c>
      <c r="X87" s="302">
        <f>SUMIFS(考核调整事项表!$C:$C,考核调整事项表!$G:$G,累计考核费用!$B87,考核调整事项表!$D:$D,累计考核费用!X$55)+SUMIFS(考核调整事项表!$E:$E,考核调整事项表!$G:$G,累计考核费用!$B87,考核调整事项表!$F:$F,累计考核费用!X$55)</f>
        <v>0</v>
      </c>
      <c r="Y87" s="302">
        <f>SUMIFS(考核调整事项表!$C:$C,考核调整事项表!$G:$G,累计考核费用!$B87,考核调整事项表!$D:$D,累计考核费用!Y$55)+SUMIFS(考核调整事项表!$E:$E,考核调整事项表!$G:$G,累计考核费用!$B87,考核调整事项表!$F:$F,累计考核费用!Y$55)</f>
        <v>0</v>
      </c>
      <c r="Z87" s="302">
        <f>SUMIFS(考核调整事项表!$C:$C,考核调整事项表!$G:$G,累计考核费用!$B87,考核调整事项表!$D:$D,累计考核费用!Z$55)+SUMIFS(考核调整事项表!$E:$E,考核调整事项表!$G:$G,累计考核费用!$B87,考核调整事项表!$F:$F,累计考核费用!Z$55)</f>
        <v>0</v>
      </c>
      <c r="AA87" s="302">
        <f>SUMIFS(考核调整事项表!$C:$C,考核调整事项表!$G:$G,累计考核费用!$B87,考核调整事项表!$D:$D,累计考核费用!AA$55)+SUMIFS(考核调整事项表!$E:$E,考核调整事项表!$G:$G,累计考核费用!$B87,考核调整事项表!$F:$F,累计考核费用!AA$55)</f>
        <v>0</v>
      </c>
      <c r="AB87" s="302">
        <f>SUMIFS(考核调整事项表!$C:$C,考核调整事项表!$G:$G,累计考核费用!$B87,考核调整事项表!$D:$D,累计考核费用!AB$55)+SUMIFS(考核调整事项表!$E:$E,考核调整事项表!$G:$G,累计考核费用!$B87,考核调整事项表!$F:$F,累计考核费用!AB$55)</f>
        <v>0</v>
      </c>
      <c r="AC87" s="302">
        <f>SUMIFS(考核调整事项表!$C:$C,考核调整事项表!$G:$G,累计考核费用!$B87,考核调整事项表!$D:$D,累计考核费用!AC$55)+SUMIFS(考核调整事项表!$E:$E,考核调整事项表!$G:$G,累计考核费用!$B87,考核调整事项表!$F:$F,累计考核费用!AC$55)</f>
        <v>0</v>
      </c>
    </row>
    <row r="88" spans="1:29">
      <c r="A88" s="19"/>
      <c r="B88" s="57" t="s">
        <v>125</v>
      </c>
      <c r="C88" s="11">
        <f t="shared" si="7"/>
        <v>0</v>
      </c>
      <c r="D88" s="302">
        <f>SUMIFS(考核调整事项表!$C:$C,考核调整事项表!$G:$G,累计考核费用!$B88,考核调整事项表!$D:$D,累计考核费用!D$55)+SUMIFS(考核调整事项表!$E:$E,考核调整事项表!$G:$G,累计考核费用!$B88,考核调整事项表!$F:$F,累计考核费用!D$55)</f>
        <v>0</v>
      </c>
      <c r="E88" s="302">
        <f>SUMIFS(考核调整事项表!$C:$C,考核调整事项表!$G:$G,累计考核费用!$B88,考核调整事项表!$D:$D,累计考核费用!E$55)+SUMIFS(考核调整事项表!$E:$E,考核调整事项表!$G:$G,累计考核费用!$B88,考核调整事项表!$F:$F,累计考核费用!E$55)+H88+S88+AB88+AC88</f>
        <v>0</v>
      </c>
      <c r="F88" s="302">
        <f>SUMIFS(考核调整事项表!$C:$C,考核调整事项表!$G:$G,累计考核费用!$B88,考核调整事项表!$D:$D,累计考核费用!F$55)+SUMIFS(考核调整事项表!$E:$E,考核调整事项表!$G:$G,累计考核费用!$B88,考核调整事项表!$F:$F,累计考核费用!F$55)</f>
        <v>0</v>
      </c>
      <c r="G88" s="302">
        <f t="shared" si="8"/>
        <v>0</v>
      </c>
      <c r="H88" s="302">
        <f>SUMIFS(考核调整事项表!$C:$C,考核调整事项表!$G:$G,累计考核费用!$B88,考核调整事项表!$D:$D,累计考核费用!H$55)+SUMIFS(考核调整事项表!$E:$E,考核调整事项表!$G:$G,累计考核费用!$B88,考核调整事项表!$F:$F,累计考核费用!H$55)</f>
        <v>0</v>
      </c>
      <c r="I88" s="302">
        <f>SUMIFS(考核调整事项表!$C:$C,考核调整事项表!$G:$G,累计考核费用!$B88,考核调整事项表!$D:$D,累计考核费用!I$55)+SUMIFS(考核调整事项表!$E:$E,考核调整事项表!$G:$G,累计考核费用!$B88,考核调整事项表!$F:$F,累计考核费用!I$55)</f>
        <v>0</v>
      </c>
      <c r="J88" s="302">
        <f>SUMIFS(考核调整事项表!$C:$C,考核调整事项表!$G:$G,累计考核费用!$B88,考核调整事项表!$D:$D,累计考核费用!J$55)+SUMIFS(考核调整事项表!$E:$E,考核调整事项表!$G:$G,累计考核费用!$B88,考核调整事项表!$F:$F,累计考核费用!J$55)</f>
        <v>0</v>
      </c>
      <c r="K88" s="302">
        <f>SUMIFS(考核调整事项表!$C:$C,考核调整事项表!$G:$G,累计考核费用!$B88,考核调整事项表!$D:$D,累计考核费用!K$55)+SUMIFS(考核调整事项表!$E:$E,考核调整事项表!$G:$G,累计考核费用!$B88,考核调整事项表!$F:$F,累计考核费用!K$55)</f>
        <v>0</v>
      </c>
      <c r="L88" s="302">
        <f t="shared" si="9"/>
        <v>0</v>
      </c>
      <c r="M88" s="302">
        <f>SUMIFS(考核调整事项表!$C:$C,考核调整事项表!$G:$G,累计考核费用!$B88,考核调整事项表!$D:$D,累计考核费用!M$55)+SUMIFS(考核调整事项表!$E:$E,考核调整事项表!$G:$G,累计考核费用!$B88,考核调整事项表!$F:$F,累计考核费用!M$55)</f>
        <v>0</v>
      </c>
      <c r="N88" s="302">
        <f>SUMIFS(考核调整事项表!$C:$C,考核调整事项表!$G:$G,累计考核费用!$B88,考核调整事项表!$D:$D,累计考核费用!N$55)+SUMIFS(考核调整事项表!$E:$E,考核调整事项表!$G:$G,累计考核费用!$B88,考核调整事项表!$F:$F,累计考核费用!N$55)</f>
        <v>0</v>
      </c>
      <c r="O88" s="302">
        <f>SUMIFS(考核调整事项表!$C:$C,考核调整事项表!$G:$G,累计考核费用!$B88,考核调整事项表!$D:$D,累计考核费用!O$55)+SUMIFS(考核调整事项表!$E:$E,考核调整事项表!$G:$G,累计考核费用!$B88,考核调整事项表!$F:$F,累计考核费用!O$55)</f>
        <v>0</v>
      </c>
      <c r="P88" s="302">
        <f>SUMIFS(考核调整事项表!$C:$C,考核调整事项表!$G:$G,累计考核费用!$B88,考核调整事项表!$D:$D,累计考核费用!P$55)+SUMIFS(考核调整事项表!$E:$E,考核调整事项表!$G:$G,累计考核费用!$B88,考核调整事项表!$F:$F,累计考核费用!P$55)</f>
        <v>0</v>
      </c>
      <c r="Q88" s="302">
        <f>SUMIFS(考核调整事项表!$C:$C,考核调整事项表!$G:$G,累计考核费用!$B88,考核调整事项表!$D:$D,累计考核费用!Q$55)+SUMIFS(考核调整事项表!$E:$E,考核调整事项表!$G:$G,累计考核费用!$B88,考核调整事项表!$F:$F,累计考核费用!Q$55)</f>
        <v>0</v>
      </c>
      <c r="R88" s="302">
        <f>SUMIFS(考核调整事项表!$C:$C,考核调整事项表!$G:$G,累计考核费用!$B88,考核调整事项表!$D:$D,累计考核费用!R$55)+SUMIFS(考核调整事项表!$E:$E,考核调整事项表!$G:$G,累计考核费用!$B88,考核调整事项表!$F:$F,累计考核费用!R$55)</f>
        <v>0</v>
      </c>
      <c r="S88" s="302">
        <f>SUMIFS(考核调整事项表!$C:$C,考核调整事项表!$G:$G,累计考核费用!$B88,考核调整事项表!$D:$D,累计考核费用!S$55)+SUMIFS(考核调整事项表!$E:$E,考核调整事项表!$G:$G,累计考核费用!$B88,考核调整事项表!$F:$F,累计考核费用!S$55)</f>
        <v>0</v>
      </c>
      <c r="T88" s="305">
        <f>SUM(U88:AA88)</f>
        <v>0</v>
      </c>
      <c r="U88" s="302">
        <f>SUMIFS(考核调整事项表!$C:$C,考核调整事项表!$G:$G,累计考核费用!$B88,考核调整事项表!$D:$D,累计考核费用!U$55)+SUMIFS(考核调整事项表!$E:$E,考核调整事项表!$G:$G,累计考核费用!$B88,考核调整事项表!$F:$F,累计考核费用!U$55)</f>
        <v>0</v>
      </c>
      <c r="V88" s="302">
        <f>SUMIFS(考核调整事项表!$C:$C,考核调整事项表!$G:$G,累计考核费用!$B88,考核调整事项表!$D:$D,累计考核费用!V$55)+SUMIFS(考核调整事项表!$E:$E,考核调整事项表!$G:$G,累计考核费用!$B88,考核调整事项表!$F:$F,累计考核费用!V$55)</f>
        <v>0</v>
      </c>
      <c r="W88" s="302">
        <f>SUMIFS(考核调整事项表!$C:$C,考核调整事项表!$G:$G,累计考核费用!$B88,考核调整事项表!$D:$D,累计考核费用!W$55)+SUMIFS(考核调整事项表!$E:$E,考核调整事项表!$G:$G,累计考核费用!$B88,考核调整事项表!$F:$F,累计考核费用!W$55)</f>
        <v>0</v>
      </c>
      <c r="X88" s="302">
        <f>SUMIFS(考核调整事项表!$C:$C,考核调整事项表!$G:$G,累计考核费用!$B88,考核调整事项表!$D:$D,累计考核费用!X$55)+SUMIFS(考核调整事项表!$E:$E,考核调整事项表!$G:$G,累计考核费用!$B88,考核调整事项表!$F:$F,累计考核费用!X$55)</f>
        <v>0</v>
      </c>
      <c r="Y88" s="302">
        <f>SUMIFS(考核调整事项表!$C:$C,考核调整事项表!$G:$G,累计考核费用!$B88,考核调整事项表!$D:$D,累计考核费用!Y$55)+SUMIFS(考核调整事项表!$E:$E,考核调整事项表!$G:$G,累计考核费用!$B88,考核调整事项表!$F:$F,累计考核费用!Y$55)</f>
        <v>0</v>
      </c>
      <c r="Z88" s="302">
        <f>SUMIFS(考核调整事项表!$C:$C,考核调整事项表!$G:$G,累计考核费用!$B88,考核调整事项表!$D:$D,累计考核费用!Z$55)+SUMIFS(考核调整事项表!$E:$E,考核调整事项表!$G:$G,累计考核费用!$B88,考核调整事项表!$F:$F,累计考核费用!Z$55)</f>
        <v>0</v>
      </c>
      <c r="AA88" s="302">
        <f>SUMIFS(考核调整事项表!$C:$C,考核调整事项表!$G:$G,累计考核费用!$B88,考核调整事项表!$D:$D,累计考核费用!AA$55)+SUMIFS(考核调整事项表!$E:$E,考核调整事项表!$G:$G,累计考核费用!$B88,考核调整事项表!$F:$F,累计考核费用!AA$55)</f>
        <v>0</v>
      </c>
      <c r="AB88" s="302">
        <f>SUMIFS(考核调整事项表!$C:$C,考核调整事项表!$G:$G,累计考核费用!$B88,考核调整事项表!$D:$D,累计考核费用!AB$55)+SUMIFS(考核调整事项表!$E:$E,考核调整事项表!$G:$G,累计考核费用!$B88,考核调整事项表!$F:$F,累计考核费用!AB$55)</f>
        <v>0</v>
      </c>
      <c r="AC88" s="302">
        <f>SUMIFS(考核调整事项表!$C:$C,考核调整事项表!$G:$G,累计考核费用!$B88,考核调整事项表!$D:$D,累计考核费用!AC$55)+SUMIFS(考核调整事项表!$E:$E,考核调整事项表!$G:$G,累计考核费用!$B88,考核调整事项表!$F:$F,累计考核费用!AC$55)</f>
        <v>0</v>
      </c>
    </row>
    <row r="89" spans="1:29">
      <c r="A89" s="19"/>
      <c r="B89" s="57" t="s">
        <v>126</v>
      </c>
      <c r="C89" s="11">
        <f t="shared" si="7"/>
        <v>0</v>
      </c>
      <c r="D89" s="302">
        <f>SUMIFS(考核调整事项表!$C:$C,考核调整事项表!$G:$G,累计考核费用!$B89,考核调整事项表!$D:$D,累计考核费用!D$55)+SUMIFS(考核调整事项表!$E:$E,考核调整事项表!$G:$G,累计考核费用!$B89,考核调整事项表!$F:$F,累计考核费用!D$55)</f>
        <v>0</v>
      </c>
      <c r="E89" s="302">
        <f>SUMIFS(考核调整事项表!$C:$C,考核调整事项表!$G:$G,累计考核费用!$B89,考核调整事项表!$D:$D,累计考核费用!E$55)+SUMIFS(考核调整事项表!$E:$E,考核调整事项表!$G:$G,累计考核费用!$B89,考核调整事项表!$F:$F,累计考核费用!E$55)+H89+S89+AB89+AC89</f>
        <v>0</v>
      </c>
      <c r="F89" s="302">
        <f>SUMIFS(考核调整事项表!$C:$C,考核调整事项表!$G:$G,累计考核费用!$B89,考核调整事项表!$D:$D,累计考核费用!F$55)+SUMIFS(考核调整事项表!$E:$E,考核调整事项表!$G:$G,累计考核费用!$B89,考核调整事项表!$F:$F,累计考核费用!F$55)</f>
        <v>0</v>
      </c>
      <c r="G89" s="302">
        <f t="shared" si="8"/>
        <v>0</v>
      </c>
      <c r="H89" s="302">
        <f>SUMIFS(考核调整事项表!$C:$C,考核调整事项表!$G:$G,累计考核费用!$B89,考核调整事项表!$D:$D,累计考核费用!H$55)+SUMIFS(考核调整事项表!$E:$E,考核调整事项表!$G:$G,累计考核费用!$B89,考核调整事项表!$F:$F,累计考核费用!H$55)</f>
        <v>0</v>
      </c>
      <c r="I89" s="302">
        <f>SUMIFS(考核调整事项表!$C:$C,考核调整事项表!$G:$G,累计考核费用!$B89,考核调整事项表!$D:$D,累计考核费用!I$55)+SUMIFS(考核调整事项表!$E:$E,考核调整事项表!$G:$G,累计考核费用!$B89,考核调整事项表!$F:$F,累计考核费用!I$55)</f>
        <v>0</v>
      </c>
      <c r="J89" s="302">
        <f>SUMIFS(考核调整事项表!$C:$C,考核调整事项表!$G:$G,累计考核费用!$B89,考核调整事项表!$D:$D,累计考核费用!J$55)+SUMIFS(考核调整事项表!$E:$E,考核调整事项表!$G:$G,累计考核费用!$B89,考核调整事项表!$F:$F,累计考核费用!J$55)</f>
        <v>0</v>
      </c>
      <c r="K89" s="302">
        <f>SUMIFS(考核调整事项表!$C:$C,考核调整事项表!$G:$G,累计考核费用!$B89,考核调整事项表!$D:$D,累计考核费用!K$55)+SUMIFS(考核调整事项表!$E:$E,考核调整事项表!$G:$G,累计考核费用!$B89,考核调整事项表!$F:$F,累计考核费用!K$55)</f>
        <v>0</v>
      </c>
      <c r="L89" s="302">
        <f t="shared" si="9"/>
        <v>0</v>
      </c>
      <c r="M89" s="302">
        <f>SUMIFS(考核调整事项表!$C:$C,考核调整事项表!$G:$G,累计考核费用!$B89,考核调整事项表!$D:$D,累计考核费用!M$55)+SUMIFS(考核调整事项表!$E:$E,考核调整事项表!$G:$G,累计考核费用!$B89,考核调整事项表!$F:$F,累计考核费用!M$55)</f>
        <v>0</v>
      </c>
      <c r="N89" s="302">
        <f>SUMIFS(考核调整事项表!$C:$C,考核调整事项表!$G:$G,累计考核费用!$B89,考核调整事项表!$D:$D,累计考核费用!N$55)+SUMIFS(考核调整事项表!$E:$E,考核调整事项表!$G:$G,累计考核费用!$B89,考核调整事项表!$F:$F,累计考核费用!N$55)</f>
        <v>0</v>
      </c>
      <c r="O89" s="302">
        <f>SUMIFS(考核调整事项表!$C:$C,考核调整事项表!$G:$G,累计考核费用!$B89,考核调整事项表!$D:$D,累计考核费用!O$55)+SUMIFS(考核调整事项表!$E:$E,考核调整事项表!$G:$G,累计考核费用!$B89,考核调整事项表!$F:$F,累计考核费用!O$55)</f>
        <v>0</v>
      </c>
      <c r="P89" s="302">
        <f>SUMIFS(考核调整事项表!$C:$C,考核调整事项表!$G:$G,累计考核费用!$B89,考核调整事项表!$D:$D,累计考核费用!P$55)+SUMIFS(考核调整事项表!$E:$E,考核调整事项表!$G:$G,累计考核费用!$B89,考核调整事项表!$F:$F,累计考核费用!P$55)</f>
        <v>0</v>
      </c>
      <c r="Q89" s="302">
        <f>SUMIFS(考核调整事项表!$C:$C,考核调整事项表!$G:$G,累计考核费用!$B89,考核调整事项表!$D:$D,累计考核费用!Q$55)+SUMIFS(考核调整事项表!$E:$E,考核调整事项表!$G:$G,累计考核费用!$B89,考核调整事项表!$F:$F,累计考核费用!Q$55)</f>
        <v>0</v>
      </c>
      <c r="R89" s="302">
        <f>SUMIFS(考核调整事项表!$C:$C,考核调整事项表!$G:$G,累计考核费用!$B89,考核调整事项表!$D:$D,累计考核费用!R$55)+SUMIFS(考核调整事项表!$E:$E,考核调整事项表!$G:$G,累计考核费用!$B89,考核调整事项表!$F:$F,累计考核费用!R$55)</f>
        <v>0</v>
      </c>
      <c r="S89" s="302">
        <f>SUMIFS(考核调整事项表!$C:$C,考核调整事项表!$G:$G,累计考核费用!$B89,考核调整事项表!$D:$D,累计考核费用!S$55)+SUMIFS(考核调整事项表!$E:$E,考核调整事项表!$G:$G,累计考核费用!$B89,考核调整事项表!$F:$F,累计考核费用!S$55)</f>
        <v>0</v>
      </c>
      <c r="T89" s="305">
        <f t="shared" ref="T89:T102" si="15">SUM(U89:AA89)</f>
        <v>0</v>
      </c>
      <c r="U89" s="302">
        <f>SUMIFS(考核调整事项表!$C:$C,考核调整事项表!$G:$G,累计考核费用!$B89,考核调整事项表!$D:$D,累计考核费用!U$55)+SUMIFS(考核调整事项表!$E:$E,考核调整事项表!$G:$G,累计考核费用!$B89,考核调整事项表!$F:$F,累计考核费用!U$55)</f>
        <v>0</v>
      </c>
      <c r="V89" s="302">
        <f>SUMIFS(考核调整事项表!$C:$C,考核调整事项表!$G:$G,累计考核费用!$B89,考核调整事项表!$D:$D,累计考核费用!V$55)+SUMIFS(考核调整事项表!$E:$E,考核调整事项表!$G:$G,累计考核费用!$B89,考核调整事项表!$F:$F,累计考核费用!V$55)</f>
        <v>0</v>
      </c>
      <c r="W89" s="302">
        <f>SUMIFS(考核调整事项表!$C:$C,考核调整事项表!$G:$G,累计考核费用!$B89,考核调整事项表!$D:$D,累计考核费用!W$55)+SUMIFS(考核调整事项表!$E:$E,考核调整事项表!$G:$G,累计考核费用!$B89,考核调整事项表!$F:$F,累计考核费用!W$55)</f>
        <v>0</v>
      </c>
      <c r="X89" s="302">
        <f>SUMIFS(考核调整事项表!$C:$C,考核调整事项表!$G:$G,累计考核费用!$B89,考核调整事项表!$D:$D,累计考核费用!X$55)+SUMIFS(考核调整事项表!$E:$E,考核调整事项表!$G:$G,累计考核费用!$B89,考核调整事项表!$F:$F,累计考核费用!X$55)</f>
        <v>0</v>
      </c>
      <c r="Y89" s="302">
        <f>SUMIFS(考核调整事项表!$C:$C,考核调整事项表!$G:$G,累计考核费用!$B89,考核调整事项表!$D:$D,累计考核费用!Y$55)+SUMIFS(考核调整事项表!$E:$E,考核调整事项表!$G:$G,累计考核费用!$B89,考核调整事项表!$F:$F,累计考核费用!Y$55)</f>
        <v>0</v>
      </c>
      <c r="Z89" s="302">
        <f>SUMIFS(考核调整事项表!$C:$C,考核调整事项表!$G:$G,累计考核费用!$B89,考核调整事项表!$D:$D,累计考核费用!Z$55)+SUMIFS(考核调整事项表!$E:$E,考核调整事项表!$G:$G,累计考核费用!$B89,考核调整事项表!$F:$F,累计考核费用!Z$55)</f>
        <v>0</v>
      </c>
      <c r="AA89" s="302">
        <f>SUMIFS(考核调整事项表!$C:$C,考核调整事项表!$G:$G,累计考核费用!$B89,考核调整事项表!$D:$D,累计考核费用!AA$55)+SUMIFS(考核调整事项表!$E:$E,考核调整事项表!$G:$G,累计考核费用!$B89,考核调整事项表!$F:$F,累计考核费用!AA$55)</f>
        <v>0</v>
      </c>
      <c r="AB89" s="302">
        <f>SUMIFS(考核调整事项表!$C:$C,考核调整事项表!$G:$G,累计考核费用!$B89,考核调整事项表!$D:$D,累计考核费用!AB$55)+SUMIFS(考核调整事项表!$E:$E,考核调整事项表!$G:$G,累计考核费用!$B89,考核调整事项表!$F:$F,累计考核费用!AB$55)</f>
        <v>0</v>
      </c>
      <c r="AC89" s="302">
        <f>SUMIFS(考核调整事项表!$C:$C,考核调整事项表!$G:$G,累计考核费用!$B89,考核调整事项表!$D:$D,累计考核费用!AC$55)+SUMIFS(考核调整事项表!$E:$E,考核调整事项表!$G:$G,累计考核费用!$B89,考核调整事项表!$F:$F,累计考核费用!AC$55)</f>
        <v>0</v>
      </c>
    </row>
    <row r="90" spans="1:29">
      <c r="A90" s="19"/>
      <c r="B90" s="57" t="s">
        <v>127</v>
      </c>
      <c r="C90" s="11">
        <f t="shared" si="7"/>
        <v>0</v>
      </c>
      <c r="D90" s="302">
        <f>SUMIFS(考核调整事项表!$C:$C,考核调整事项表!$G:$G,累计考核费用!$B90,考核调整事项表!$D:$D,累计考核费用!D$55)+SUMIFS(考核调整事项表!$E:$E,考核调整事项表!$G:$G,累计考核费用!$B90,考核调整事项表!$F:$F,累计考核费用!D$55)</f>
        <v>0</v>
      </c>
      <c r="E90" s="302">
        <f>SUMIFS(考核调整事项表!$C:$C,考核调整事项表!$G:$G,累计考核费用!$B90,考核调整事项表!$D:$D,累计考核费用!E$55)+SUMIFS(考核调整事项表!$E:$E,考核调整事项表!$G:$G,累计考核费用!$B90,考核调整事项表!$F:$F,累计考核费用!E$55)+H90+S90+AB90+AC90</f>
        <v>0</v>
      </c>
      <c r="F90" s="302">
        <f>SUMIFS(考核调整事项表!$C:$C,考核调整事项表!$G:$G,累计考核费用!$B90,考核调整事项表!$D:$D,累计考核费用!F$55)+SUMIFS(考核调整事项表!$E:$E,考核调整事项表!$G:$G,累计考核费用!$B90,考核调整事项表!$F:$F,累计考核费用!F$55)</f>
        <v>0</v>
      </c>
      <c r="G90" s="302">
        <f t="shared" si="8"/>
        <v>0</v>
      </c>
      <c r="H90" s="302">
        <f>SUMIFS(考核调整事项表!$C:$C,考核调整事项表!$G:$G,累计考核费用!$B90,考核调整事项表!$D:$D,累计考核费用!H$55)+SUMIFS(考核调整事项表!$E:$E,考核调整事项表!$G:$G,累计考核费用!$B90,考核调整事项表!$F:$F,累计考核费用!H$55)</f>
        <v>0</v>
      </c>
      <c r="I90" s="302">
        <f>SUMIFS(考核调整事项表!$C:$C,考核调整事项表!$G:$G,累计考核费用!$B90,考核调整事项表!$D:$D,累计考核费用!I$55)+SUMIFS(考核调整事项表!$E:$E,考核调整事项表!$G:$G,累计考核费用!$B90,考核调整事项表!$F:$F,累计考核费用!I$55)</f>
        <v>0</v>
      </c>
      <c r="J90" s="302">
        <f>SUMIFS(考核调整事项表!$C:$C,考核调整事项表!$G:$G,累计考核费用!$B90,考核调整事项表!$D:$D,累计考核费用!J$55)+SUMIFS(考核调整事项表!$E:$E,考核调整事项表!$G:$G,累计考核费用!$B90,考核调整事项表!$F:$F,累计考核费用!J$55)</f>
        <v>0</v>
      </c>
      <c r="K90" s="302">
        <f>SUMIFS(考核调整事项表!$C:$C,考核调整事项表!$G:$G,累计考核费用!$B90,考核调整事项表!$D:$D,累计考核费用!K$55)+SUMIFS(考核调整事项表!$E:$E,考核调整事项表!$G:$G,累计考核费用!$B90,考核调整事项表!$F:$F,累计考核费用!K$55)</f>
        <v>0</v>
      </c>
      <c r="L90" s="302">
        <f t="shared" si="9"/>
        <v>0</v>
      </c>
      <c r="M90" s="302">
        <f>SUMIFS(考核调整事项表!$C:$C,考核调整事项表!$G:$G,累计考核费用!$B90,考核调整事项表!$D:$D,累计考核费用!M$55)+SUMIFS(考核调整事项表!$E:$E,考核调整事项表!$G:$G,累计考核费用!$B90,考核调整事项表!$F:$F,累计考核费用!M$55)</f>
        <v>0</v>
      </c>
      <c r="N90" s="302">
        <f>SUMIFS(考核调整事项表!$C:$C,考核调整事项表!$G:$G,累计考核费用!$B90,考核调整事项表!$D:$D,累计考核费用!N$55)+SUMIFS(考核调整事项表!$E:$E,考核调整事项表!$G:$G,累计考核费用!$B90,考核调整事项表!$F:$F,累计考核费用!N$55)</f>
        <v>0</v>
      </c>
      <c r="O90" s="302">
        <f>SUMIFS(考核调整事项表!$C:$C,考核调整事项表!$G:$G,累计考核费用!$B90,考核调整事项表!$D:$D,累计考核费用!O$55)+SUMIFS(考核调整事项表!$E:$E,考核调整事项表!$G:$G,累计考核费用!$B90,考核调整事项表!$F:$F,累计考核费用!O$55)</f>
        <v>0</v>
      </c>
      <c r="P90" s="302">
        <f>SUMIFS(考核调整事项表!$C:$C,考核调整事项表!$G:$G,累计考核费用!$B90,考核调整事项表!$D:$D,累计考核费用!P$55)+SUMIFS(考核调整事项表!$E:$E,考核调整事项表!$G:$G,累计考核费用!$B90,考核调整事项表!$F:$F,累计考核费用!P$55)</f>
        <v>0</v>
      </c>
      <c r="Q90" s="302">
        <f>SUMIFS(考核调整事项表!$C:$C,考核调整事项表!$G:$G,累计考核费用!$B90,考核调整事项表!$D:$D,累计考核费用!Q$55)+SUMIFS(考核调整事项表!$E:$E,考核调整事项表!$G:$G,累计考核费用!$B90,考核调整事项表!$F:$F,累计考核费用!Q$55)</f>
        <v>0</v>
      </c>
      <c r="R90" s="302">
        <f>SUMIFS(考核调整事项表!$C:$C,考核调整事项表!$G:$G,累计考核费用!$B90,考核调整事项表!$D:$D,累计考核费用!R$55)+SUMIFS(考核调整事项表!$E:$E,考核调整事项表!$G:$G,累计考核费用!$B90,考核调整事项表!$F:$F,累计考核费用!R$55)</f>
        <v>0</v>
      </c>
      <c r="S90" s="302">
        <f>SUMIFS(考核调整事项表!$C:$C,考核调整事项表!$G:$G,累计考核费用!$B90,考核调整事项表!$D:$D,累计考核费用!S$55)+SUMIFS(考核调整事项表!$E:$E,考核调整事项表!$G:$G,累计考核费用!$B90,考核调整事项表!$F:$F,累计考核费用!S$55)</f>
        <v>0</v>
      </c>
      <c r="T90" s="305">
        <f t="shared" si="15"/>
        <v>0</v>
      </c>
      <c r="U90" s="302">
        <f>SUMIFS(考核调整事项表!$C:$C,考核调整事项表!$G:$G,累计考核费用!$B90,考核调整事项表!$D:$D,累计考核费用!U$55)+SUMIFS(考核调整事项表!$E:$E,考核调整事项表!$G:$G,累计考核费用!$B90,考核调整事项表!$F:$F,累计考核费用!U$55)</f>
        <v>0</v>
      </c>
      <c r="V90" s="302">
        <f>SUMIFS(考核调整事项表!$C:$C,考核调整事项表!$G:$G,累计考核费用!$B90,考核调整事项表!$D:$D,累计考核费用!V$55)+SUMIFS(考核调整事项表!$E:$E,考核调整事项表!$G:$G,累计考核费用!$B90,考核调整事项表!$F:$F,累计考核费用!V$55)</f>
        <v>0</v>
      </c>
      <c r="W90" s="302">
        <f>SUMIFS(考核调整事项表!$C:$C,考核调整事项表!$G:$G,累计考核费用!$B90,考核调整事项表!$D:$D,累计考核费用!W$55)+SUMIFS(考核调整事项表!$E:$E,考核调整事项表!$G:$G,累计考核费用!$B90,考核调整事项表!$F:$F,累计考核费用!W$55)</f>
        <v>0</v>
      </c>
      <c r="X90" s="302">
        <f>SUMIFS(考核调整事项表!$C:$C,考核调整事项表!$G:$G,累计考核费用!$B90,考核调整事项表!$D:$D,累计考核费用!X$55)+SUMIFS(考核调整事项表!$E:$E,考核调整事项表!$G:$G,累计考核费用!$B90,考核调整事项表!$F:$F,累计考核费用!X$55)</f>
        <v>0</v>
      </c>
      <c r="Y90" s="302">
        <f>SUMIFS(考核调整事项表!$C:$C,考核调整事项表!$G:$G,累计考核费用!$B90,考核调整事项表!$D:$D,累计考核费用!Y$55)+SUMIFS(考核调整事项表!$E:$E,考核调整事项表!$G:$G,累计考核费用!$B90,考核调整事项表!$F:$F,累计考核费用!Y$55)</f>
        <v>0</v>
      </c>
      <c r="Z90" s="302">
        <f>SUMIFS(考核调整事项表!$C:$C,考核调整事项表!$G:$G,累计考核费用!$B90,考核调整事项表!$D:$D,累计考核费用!Z$55)+SUMIFS(考核调整事项表!$E:$E,考核调整事项表!$G:$G,累计考核费用!$B90,考核调整事项表!$F:$F,累计考核费用!Z$55)</f>
        <v>0</v>
      </c>
      <c r="AA90" s="302">
        <f>SUMIFS(考核调整事项表!$C:$C,考核调整事项表!$G:$G,累计考核费用!$B90,考核调整事项表!$D:$D,累计考核费用!AA$55)+SUMIFS(考核调整事项表!$E:$E,考核调整事项表!$G:$G,累计考核费用!$B90,考核调整事项表!$F:$F,累计考核费用!AA$55)</f>
        <v>0</v>
      </c>
      <c r="AB90" s="302">
        <f>SUMIFS(考核调整事项表!$C:$C,考核调整事项表!$G:$G,累计考核费用!$B90,考核调整事项表!$D:$D,累计考核费用!AB$55)+SUMIFS(考核调整事项表!$E:$E,考核调整事项表!$G:$G,累计考核费用!$B90,考核调整事项表!$F:$F,累计考核费用!AB$55)</f>
        <v>0</v>
      </c>
      <c r="AC90" s="302">
        <f>SUMIFS(考核调整事项表!$C:$C,考核调整事项表!$G:$G,累计考核费用!$B90,考核调整事项表!$D:$D,累计考核费用!AC$55)+SUMIFS(考核调整事项表!$E:$E,考核调整事项表!$G:$G,累计考核费用!$B90,考核调整事项表!$F:$F,累计考核费用!AC$55)</f>
        <v>0</v>
      </c>
    </row>
    <row r="91" spans="1:29">
      <c r="A91" s="19"/>
      <c r="B91" s="57" t="s">
        <v>128</v>
      </c>
      <c r="C91" s="11">
        <f t="shared" si="7"/>
        <v>0</v>
      </c>
      <c r="D91" s="302">
        <f>SUMIFS(考核调整事项表!$C:$C,考核调整事项表!$G:$G,累计考核费用!$B91,考核调整事项表!$D:$D,累计考核费用!D$55)+SUMIFS(考核调整事项表!$E:$E,考核调整事项表!$G:$G,累计考核费用!$B91,考核调整事项表!$F:$F,累计考核费用!D$55)</f>
        <v>0</v>
      </c>
      <c r="E91" s="302">
        <f>SUMIFS(考核调整事项表!$C:$C,考核调整事项表!$G:$G,累计考核费用!$B91,考核调整事项表!$D:$D,累计考核费用!E$55)+SUMIFS(考核调整事项表!$E:$E,考核调整事项表!$G:$G,累计考核费用!$B91,考核调整事项表!$F:$F,累计考核费用!E$55)+H91+S91+AB91+AC91</f>
        <v>0</v>
      </c>
      <c r="F91" s="302">
        <f>SUMIFS(考核调整事项表!$C:$C,考核调整事项表!$G:$G,累计考核费用!$B91,考核调整事项表!$D:$D,累计考核费用!F$55)+SUMIFS(考核调整事项表!$E:$E,考核调整事项表!$G:$G,累计考核费用!$B91,考核调整事项表!$F:$F,累计考核费用!F$55)</f>
        <v>0</v>
      </c>
      <c r="G91" s="302">
        <f t="shared" si="8"/>
        <v>0</v>
      </c>
      <c r="H91" s="302">
        <f>SUMIFS(考核调整事项表!$C:$C,考核调整事项表!$G:$G,累计考核费用!$B91,考核调整事项表!$D:$D,累计考核费用!H$55)+SUMIFS(考核调整事项表!$E:$E,考核调整事项表!$G:$G,累计考核费用!$B91,考核调整事项表!$F:$F,累计考核费用!H$55)</f>
        <v>0</v>
      </c>
      <c r="I91" s="302">
        <f>SUMIFS(考核调整事项表!$C:$C,考核调整事项表!$G:$G,累计考核费用!$B91,考核调整事项表!$D:$D,累计考核费用!I$55)+SUMIFS(考核调整事项表!$E:$E,考核调整事项表!$G:$G,累计考核费用!$B91,考核调整事项表!$F:$F,累计考核费用!I$55)</f>
        <v>0</v>
      </c>
      <c r="J91" s="302">
        <f>SUMIFS(考核调整事项表!$C:$C,考核调整事项表!$G:$G,累计考核费用!$B91,考核调整事项表!$D:$D,累计考核费用!J$55)+SUMIFS(考核调整事项表!$E:$E,考核调整事项表!$G:$G,累计考核费用!$B91,考核调整事项表!$F:$F,累计考核费用!J$55)</f>
        <v>0</v>
      </c>
      <c r="K91" s="302">
        <f>SUMIFS(考核调整事项表!$C:$C,考核调整事项表!$G:$G,累计考核费用!$B91,考核调整事项表!$D:$D,累计考核费用!K$55)+SUMIFS(考核调整事项表!$E:$E,考核调整事项表!$G:$G,累计考核费用!$B91,考核调整事项表!$F:$F,累计考核费用!K$55)</f>
        <v>0</v>
      </c>
      <c r="L91" s="302">
        <f t="shared" si="9"/>
        <v>0</v>
      </c>
      <c r="M91" s="302">
        <f>SUMIFS(考核调整事项表!$C:$C,考核调整事项表!$G:$G,累计考核费用!$B91,考核调整事项表!$D:$D,累计考核费用!M$55)+SUMIFS(考核调整事项表!$E:$E,考核调整事项表!$G:$G,累计考核费用!$B91,考核调整事项表!$F:$F,累计考核费用!M$55)</f>
        <v>0</v>
      </c>
      <c r="N91" s="302">
        <f>SUMIFS(考核调整事项表!$C:$C,考核调整事项表!$G:$G,累计考核费用!$B91,考核调整事项表!$D:$D,累计考核费用!N$55)+SUMIFS(考核调整事项表!$E:$E,考核调整事项表!$G:$G,累计考核费用!$B91,考核调整事项表!$F:$F,累计考核费用!N$55)</f>
        <v>0</v>
      </c>
      <c r="O91" s="302">
        <f>SUMIFS(考核调整事项表!$C:$C,考核调整事项表!$G:$G,累计考核费用!$B91,考核调整事项表!$D:$D,累计考核费用!O$55)+SUMIFS(考核调整事项表!$E:$E,考核调整事项表!$G:$G,累计考核费用!$B91,考核调整事项表!$F:$F,累计考核费用!O$55)</f>
        <v>0</v>
      </c>
      <c r="P91" s="302">
        <f>SUMIFS(考核调整事项表!$C:$C,考核调整事项表!$G:$G,累计考核费用!$B91,考核调整事项表!$D:$D,累计考核费用!P$55)+SUMIFS(考核调整事项表!$E:$E,考核调整事项表!$G:$G,累计考核费用!$B91,考核调整事项表!$F:$F,累计考核费用!P$55)</f>
        <v>0</v>
      </c>
      <c r="Q91" s="302">
        <f>SUMIFS(考核调整事项表!$C:$C,考核调整事项表!$G:$G,累计考核费用!$B91,考核调整事项表!$D:$D,累计考核费用!Q$55)+SUMIFS(考核调整事项表!$E:$E,考核调整事项表!$G:$G,累计考核费用!$B91,考核调整事项表!$F:$F,累计考核费用!Q$55)</f>
        <v>0</v>
      </c>
      <c r="R91" s="302">
        <f>SUMIFS(考核调整事项表!$C:$C,考核调整事项表!$G:$G,累计考核费用!$B91,考核调整事项表!$D:$D,累计考核费用!R$55)+SUMIFS(考核调整事项表!$E:$E,考核调整事项表!$G:$G,累计考核费用!$B91,考核调整事项表!$F:$F,累计考核费用!R$55)</f>
        <v>0</v>
      </c>
      <c r="S91" s="302">
        <f>SUMIFS(考核调整事项表!$C:$C,考核调整事项表!$G:$G,累计考核费用!$B91,考核调整事项表!$D:$D,累计考核费用!S$55)+SUMIFS(考核调整事项表!$E:$E,考核调整事项表!$G:$G,累计考核费用!$B91,考核调整事项表!$F:$F,累计考核费用!S$55)</f>
        <v>0</v>
      </c>
      <c r="T91" s="305">
        <f t="shared" si="15"/>
        <v>0</v>
      </c>
      <c r="U91" s="302">
        <f>SUMIFS(考核调整事项表!$C:$C,考核调整事项表!$G:$G,累计考核费用!$B91,考核调整事项表!$D:$D,累计考核费用!U$55)+SUMIFS(考核调整事项表!$E:$E,考核调整事项表!$G:$G,累计考核费用!$B91,考核调整事项表!$F:$F,累计考核费用!U$55)</f>
        <v>0</v>
      </c>
      <c r="V91" s="302">
        <f>SUMIFS(考核调整事项表!$C:$C,考核调整事项表!$G:$G,累计考核费用!$B91,考核调整事项表!$D:$D,累计考核费用!V$55)+SUMIFS(考核调整事项表!$E:$E,考核调整事项表!$G:$G,累计考核费用!$B91,考核调整事项表!$F:$F,累计考核费用!V$55)</f>
        <v>0</v>
      </c>
      <c r="W91" s="302">
        <f>SUMIFS(考核调整事项表!$C:$C,考核调整事项表!$G:$G,累计考核费用!$B91,考核调整事项表!$D:$D,累计考核费用!W$55)+SUMIFS(考核调整事项表!$E:$E,考核调整事项表!$G:$G,累计考核费用!$B91,考核调整事项表!$F:$F,累计考核费用!W$55)</f>
        <v>0</v>
      </c>
      <c r="X91" s="302">
        <f>SUMIFS(考核调整事项表!$C:$C,考核调整事项表!$G:$G,累计考核费用!$B91,考核调整事项表!$D:$D,累计考核费用!X$55)+SUMIFS(考核调整事项表!$E:$E,考核调整事项表!$G:$G,累计考核费用!$B91,考核调整事项表!$F:$F,累计考核费用!X$55)</f>
        <v>0</v>
      </c>
      <c r="Y91" s="302">
        <f>SUMIFS(考核调整事项表!$C:$C,考核调整事项表!$G:$G,累计考核费用!$B91,考核调整事项表!$D:$D,累计考核费用!Y$55)+SUMIFS(考核调整事项表!$E:$E,考核调整事项表!$G:$G,累计考核费用!$B91,考核调整事项表!$F:$F,累计考核费用!Y$55)</f>
        <v>0</v>
      </c>
      <c r="Z91" s="302">
        <f>SUMIFS(考核调整事项表!$C:$C,考核调整事项表!$G:$G,累计考核费用!$B91,考核调整事项表!$D:$D,累计考核费用!Z$55)+SUMIFS(考核调整事项表!$E:$E,考核调整事项表!$G:$G,累计考核费用!$B91,考核调整事项表!$F:$F,累计考核费用!Z$55)</f>
        <v>0</v>
      </c>
      <c r="AA91" s="302">
        <f>SUMIFS(考核调整事项表!$C:$C,考核调整事项表!$G:$G,累计考核费用!$B91,考核调整事项表!$D:$D,累计考核费用!AA$55)+SUMIFS(考核调整事项表!$E:$E,考核调整事项表!$G:$G,累计考核费用!$B91,考核调整事项表!$F:$F,累计考核费用!AA$55)</f>
        <v>0</v>
      </c>
      <c r="AB91" s="302">
        <f>SUMIFS(考核调整事项表!$C:$C,考核调整事项表!$G:$G,累计考核费用!$B91,考核调整事项表!$D:$D,累计考核费用!AB$55)+SUMIFS(考核调整事项表!$E:$E,考核调整事项表!$G:$G,累计考核费用!$B91,考核调整事项表!$F:$F,累计考核费用!AB$55)</f>
        <v>0</v>
      </c>
      <c r="AC91" s="302">
        <f>SUMIFS(考核调整事项表!$C:$C,考核调整事项表!$G:$G,累计考核费用!$B91,考核调整事项表!$D:$D,累计考核费用!AC$55)+SUMIFS(考核调整事项表!$E:$E,考核调整事项表!$G:$G,累计考核费用!$B91,考核调整事项表!$F:$F,累计考核费用!AC$55)</f>
        <v>0</v>
      </c>
    </row>
    <row r="92" spans="1:29">
      <c r="A92" s="19"/>
      <c r="B92" s="57" t="s">
        <v>129</v>
      </c>
      <c r="C92" s="11">
        <f t="shared" si="7"/>
        <v>0</v>
      </c>
      <c r="D92" s="302">
        <f>SUMIFS(考核调整事项表!$C:$C,考核调整事项表!$G:$G,累计考核费用!$B92,考核调整事项表!$D:$D,累计考核费用!D$55)+SUMIFS(考核调整事项表!$E:$E,考核调整事项表!$G:$G,累计考核费用!$B92,考核调整事项表!$F:$F,累计考核费用!D$55)</f>
        <v>0</v>
      </c>
      <c r="E92" s="302">
        <f>SUMIFS(考核调整事项表!$C:$C,考核调整事项表!$G:$G,累计考核费用!$B92,考核调整事项表!$D:$D,累计考核费用!E$55)+SUMIFS(考核调整事项表!$E:$E,考核调整事项表!$G:$G,累计考核费用!$B92,考核调整事项表!$F:$F,累计考核费用!E$55)+H92+S92+AB92+AC92</f>
        <v>0</v>
      </c>
      <c r="F92" s="302">
        <f>SUMIFS(考核调整事项表!$C:$C,考核调整事项表!$G:$G,累计考核费用!$B92,考核调整事项表!$D:$D,累计考核费用!F$55)+SUMIFS(考核调整事项表!$E:$E,考核调整事项表!$G:$G,累计考核费用!$B92,考核调整事项表!$F:$F,累计考核费用!F$55)</f>
        <v>0</v>
      </c>
      <c r="G92" s="302">
        <f t="shared" si="8"/>
        <v>0</v>
      </c>
      <c r="H92" s="302">
        <f>SUMIFS(考核调整事项表!$C:$C,考核调整事项表!$G:$G,累计考核费用!$B92,考核调整事项表!$D:$D,累计考核费用!H$55)+SUMIFS(考核调整事项表!$E:$E,考核调整事项表!$G:$G,累计考核费用!$B92,考核调整事项表!$F:$F,累计考核费用!H$55)</f>
        <v>0</v>
      </c>
      <c r="I92" s="302">
        <f>SUMIFS(考核调整事项表!$C:$C,考核调整事项表!$G:$G,累计考核费用!$B92,考核调整事项表!$D:$D,累计考核费用!I$55)+SUMIFS(考核调整事项表!$E:$E,考核调整事项表!$G:$G,累计考核费用!$B92,考核调整事项表!$F:$F,累计考核费用!I$55)</f>
        <v>0</v>
      </c>
      <c r="J92" s="302">
        <f>SUMIFS(考核调整事项表!$C:$C,考核调整事项表!$G:$G,累计考核费用!$B92,考核调整事项表!$D:$D,累计考核费用!J$55)+SUMIFS(考核调整事项表!$E:$E,考核调整事项表!$G:$G,累计考核费用!$B92,考核调整事项表!$F:$F,累计考核费用!J$55)</f>
        <v>0</v>
      </c>
      <c r="K92" s="302">
        <f>SUMIFS(考核调整事项表!$C:$C,考核调整事项表!$G:$G,累计考核费用!$B92,考核调整事项表!$D:$D,累计考核费用!K$55)+SUMIFS(考核调整事项表!$E:$E,考核调整事项表!$G:$G,累计考核费用!$B92,考核调整事项表!$F:$F,累计考核费用!K$55)</f>
        <v>0</v>
      </c>
      <c r="L92" s="302">
        <f t="shared" si="9"/>
        <v>0</v>
      </c>
      <c r="M92" s="302">
        <f>SUMIFS(考核调整事项表!$C:$C,考核调整事项表!$G:$G,累计考核费用!$B92,考核调整事项表!$D:$D,累计考核费用!M$55)+SUMIFS(考核调整事项表!$E:$E,考核调整事项表!$G:$G,累计考核费用!$B92,考核调整事项表!$F:$F,累计考核费用!M$55)</f>
        <v>0</v>
      </c>
      <c r="N92" s="302">
        <f>SUMIFS(考核调整事项表!$C:$C,考核调整事项表!$G:$G,累计考核费用!$B92,考核调整事项表!$D:$D,累计考核费用!N$55)+SUMIFS(考核调整事项表!$E:$E,考核调整事项表!$G:$G,累计考核费用!$B92,考核调整事项表!$F:$F,累计考核费用!N$55)</f>
        <v>0</v>
      </c>
      <c r="O92" s="302">
        <f>SUMIFS(考核调整事项表!$C:$C,考核调整事项表!$G:$G,累计考核费用!$B92,考核调整事项表!$D:$D,累计考核费用!O$55)+SUMIFS(考核调整事项表!$E:$E,考核调整事项表!$G:$G,累计考核费用!$B92,考核调整事项表!$F:$F,累计考核费用!O$55)</f>
        <v>0</v>
      </c>
      <c r="P92" s="302">
        <f>SUMIFS(考核调整事项表!$C:$C,考核调整事项表!$G:$G,累计考核费用!$B92,考核调整事项表!$D:$D,累计考核费用!P$55)+SUMIFS(考核调整事项表!$E:$E,考核调整事项表!$G:$G,累计考核费用!$B92,考核调整事项表!$F:$F,累计考核费用!P$55)</f>
        <v>0</v>
      </c>
      <c r="Q92" s="302">
        <f>SUMIFS(考核调整事项表!$C:$C,考核调整事项表!$G:$G,累计考核费用!$B92,考核调整事项表!$D:$D,累计考核费用!Q$55)+SUMIFS(考核调整事项表!$E:$E,考核调整事项表!$G:$G,累计考核费用!$B92,考核调整事项表!$F:$F,累计考核费用!Q$55)</f>
        <v>0</v>
      </c>
      <c r="R92" s="302">
        <f>SUMIFS(考核调整事项表!$C:$C,考核调整事项表!$G:$G,累计考核费用!$B92,考核调整事项表!$D:$D,累计考核费用!R$55)+SUMIFS(考核调整事项表!$E:$E,考核调整事项表!$G:$G,累计考核费用!$B92,考核调整事项表!$F:$F,累计考核费用!R$55)</f>
        <v>0</v>
      </c>
      <c r="S92" s="302">
        <f>SUMIFS(考核调整事项表!$C:$C,考核调整事项表!$G:$G,累计考核费用!$B92,考核调整事项表!$D:$D,累计考核费用!S$55)+SUMIFS(考核调整事项表!$E:$E,考核调整事项表!$G:$G,累计考核费用!$B92,考核调整事项表!$F:$F,累计考核费用!S$55)</f>
        <v>0</v>
      </c>
      <c r="T92" s="305">
        <f t="shared" si="15"/>
        <v>0</v>
      </c>
      <c r="U92" s="302">
        <f>SUMIFS(考核调整事项表!$C:$C,考核调整事项表!$G:$G,累计考核费用!$B92,考核调整事项表!$D:$D,累计考核费用!U$55)+SUMIFS(考核调整事项表!$E:$E,考核调整事项表!$G:$G,累计考核费用!$B92,考核调整事项表!$F:$F,累计考核费用!U$55)</f>
        <v>0</v>
      </c>
      <c r="V92" s="302">
        <f>SUMIFS(考核调整事项表!$C:$C,考核调整事项表!$G:$G,累计考核费用!$B92,考核调整事项表!$D:$D,累计考核费用!V$55)+SUMIFS(考核调整事项表!$E:$E,考核调整事项表!$G:$G,累计考核费用!$B92,考核调整事项表!$F:$F,累计考核费用!V$55)</f>
        <v>0</v>
      </c>
      <c r="W92" s="302">
        <f>SUMIFS(考核调整事项表!$C:$C,考核调整事项表!$G:$G,累计考核费用!$B92,考核调整事项表!$D:$D,累计考核费用!W$55)+SUMIFS(考核调整事项表!$E:$E,考核调整事项表!$G:$G,累计考核费用!$B92,考核调整事项表!$F:$F,累计考核费用!W$55)</f>
        <v>0</v>
      </c>
      <c r="X92" s="302">
        <f>SUMIFS(考核调整事项表!$C:$C,考核调整事项表!$G:$G,累计考核费用!$B92,考核调整事项表!$D:$D,累计考核费用!X$55)+SUMIFS(考核调整事项表!$E:$E,考核调整事项表!$G:$G,累计考核费用!$B92,考核调整事项表!$F:$F,累计考核费用!X$55)</f>
        <v>0</v>
      </c>
      <c r="Y92" s="302">
        <f>SUMIFS(考核调整事项表!$C:$C,考核调整事项表!$G:$G,累计考核费用!$B92,考核调整事项表!$D:$D,累计考核费用!Y$55)+SUMIFS(考核调整事项表!$E:$E,考核调整事项表!$G:$G,累计考核费用!$B92,考核调整事项表!$F:$F,累计考核费用!Y$55)</f>
        <v>0</v>
      </c>
      <c r="Z92" s="302">
        <f>SUMIFS(考核调整事项表!$C:$C,考核调整事项表!$G:$G,累计考核费用!$B92,考核调整事项表!$D:$D,累计考核费用!Z$55)+SUMIFS(考核调整事项表!$E:$E,考核调整事项表!$G:$G,累计考核费用!$B92,考核调整事项表!$F:$F,累计考核费用!Z$55)</f>
        <v>0</v>
      </c>
      <c r="AA92" s="302">
        <f>SUMIFS(考核调整事项表!$C:$C,考核调整事项表!$G:$G,累计考核费用!$B92,考核调整事项表!$D:$D,累计考核费用!AA$55)+SUMIFS(考核调整事项表!$E:$E,考核调整事项表!$G:$G,累计考核费用!$B92,考核调整事项表!$F:$F,累计考核费用!AA$55)</f>
        <v>0</v>
      </c>
      <c r="AB92" s="302">
        <f>SUMIFS(考核调整事项表!$C:$C,考核调整事项表!$G:$G,累计考核费用!$B92,考核调整事项表!$D:$D,累计考核费用!AB$55)+SUMIFS(考核调整事项表!$E:$E,考核调整事项表!$G:$G,累计考核费用!$B92,考核调整事项表!$F:$F,累计考核费用!AB$55)</f>
        <v>0</v>
      </c>
      <c r="AC92" s="302">
        <f>SUMIFS(考核调整事项表!$C:$C,考核调整事项表!$G:$G,累计考核费用!$B92,考核调整事项表!$D:$D,累计考核费用!AC$55)+SUMIFS(考核调整事项表!$E:$E,考核调整事项表!$G:$G,累计考核费用!$B92,考核调整事项表!$F:$F,累计考核费用!AC$55)</f>
        <v>0</v>
      </c>
    </row>
    <row r="93" spans="1:29">
      <c r="A93" s="19"/>
      <c r="B93" s="57" t="s">
        <v>130</v>
      </c>
      <c r="C93" s="11">
        <f t="shared" si="7"/>
        <v>0</v>
      </c>
      <c r="D93" s="302">
        <f>SUMIFS(考核调整事项表!$C:$C,考核调整事项表!$G:$G,累计考核费用!$B93,考核调整事项表!$D:$D,累计考核费用!D$55)+SUMIFS(考核调整事项表!$E:$E,考核调整事项表!$G:$G,累计考核费用!$B93,考核调整事项表!$F:$F,累计考核费用!D$55)</f>
        <v>0</v>
      </c>
      <c r="E93" s="302">
        <f>SUMIFS(考核调整事项表!$C:$C,考核调整事项表!$G:$G,累计考核费用!$B93,考核调整事项表!$D:$D,累计考核费用!E$55)+SUMIFS(考核调整事项表!$E:$E,考核调整事项表!$G:$G,累计考核费用!$B93,考核调整事项表!$F:$F,累计考核费用!E$55)+H93+S93+AB93+AC93</f>
        <v>0</v>
      </c>
      <c r="F93" s="302">
        <f>SUMIFS(考核调整事项表!$C:$C,考核调整事项表!$G:$G,累计考核费用!$B93,考核调整事项表!$D:$D,累计考核费用!F$55)+SUMIFS(考核调整事项表!$E:$E,考核调整事项表!$G:$G,累计考核费用!$B93,考核调整事项表!$F:$F,累计考核费用!F$55)</f>
        <v>0</v>
      </c>
      <c r="G93" s="302">
        <f t="shared" si="8"/>
        <v>0</v>
      </c>
      <c r="H93" s="302">
        <f>SUMIFS(考核调整事项表!$C:$C,考核调整事项表!$G:$G,累计考核费用!$B93,考核调整事项表!$D:$D,累计考核费用!H$55)+SUMIFS(考核调整事项表!$E:$E,考核调整事项表!$G:$G,累计考核费用!$B93,考核调整事项表!$F:$F,累计考核费用!H$55)</f>
        <v>0</v>
      </c>
      <c r="I93" s="302">
        <f>SUMIFS(考核调整事项表!$C:$C,考核调整事项表!$G:$G,累计考核费用!$B93,考核调整事项表!$D:$D,累计考核费用!I$55)+SUMIFS(考核调整事项表!$E:$E,考核调整事项表!$G:$G,累计考核费用!$B93,考核调整事项表!$F:$F,累计考核费用!I$55)</f>
        <v>0</v>
      </c>
      <c r="J93" s="302">
        <f>SUMIFS(考核调整事项表!$C:$C,考核调整事项表!$G:$G,累计考核费用!$B93,考核调整事项表!$D:$D,累计考核费用!J$55)+SUMIFS(考核调整事项表!$E:$E,考核调整事项表!$G:$G,累计考核费用!$B93,考核调整事项表!$F:$F,累计考核费用!J$55)</f>
        <v>0</v>
      </c>
      <c r="K93" s="302">
        <f>SUMIFS(考核调整事项表!$C:$C,考核调整事项表!$G:$G,累计考核费用!$B93,考核调整事项表!$D:$D,累计考核费用!K$55)+SUMIFS(考核调整事项表!$E:$E,考核调整事项表!$G:$G,累计考核费用!$B93,考核调整事项表!$F:$F,累计考核费用!K$55)</f>
        <v>0</v>
      </c>
      <c r="L93" s="302">
        <f t="shared" si="9"/>
        <v>0</v>
      </c>
      <c r="M93" s="302">
        <f>SUMIFS(考核调整事项表!$C:$C,考核调整事项表!$G:$G,累计考核费用!$B93,考核调整事项表!$D:$D,累计考核费用!M$55)+SUMIFS(考核调整事项表!$E:$E,考核调整事项表!$G:$G,累计考核费用!$B93,考核调整事项表!$F:$F,累计考核费用!M$55)</f>
        <v>0</v>
      </c>
      <c r="N93" s="302">
        <f>SUMIFS(考核调整事项表!$C:$C,考核调整事项表!$G:$G,累计考核费用!$B93,考核调整事项表!$D:$D,累计考核费用!N$55)+SUMIFS(考核调整事项表!$E:$E,考核调整事项表!$G:$G,累计考核费用!$B93,考核调整事项表!$F:$F,累计考核费用!N$55)</f>
        <v>0</v>
      </c>
      <c r="O93" s="302">
        <f>SUMIFS(考核调整事项表!$C:$C,考核调整事项表!$G:$G,累计考核费用!$B93,考核调整事项表!$D:$D,累计考核费用!O$55)+SUMIFS(考核调整事项表!$E:$E,考核调整事项表!$G:$G,累计考核费用!$B93,考核调整事项表!$F:$F,累计考核费用!O$55)</f>
        <v>0</v>
      </c>
      <c r="P93" s="302">
        <f>SUMIFS(考核调整事项表!$C:$C,考核调整事项表!$G:$G,累计考核费用!$B93,考核调整事项表!$D:$D,累计考核费用!P$55)+SUMIFS(考核调整事项表!$E:$E,考核调整事项表!$G:$G,累计考核费用!$B93,考核调整事项表!$F:$F,累计考核费用!P$55)</f>
        <v>0</v>
      </c>
      <c r="Q93" s="302">
        <f>SUMIFS(考核调整事项表!$C:$C,考核调整事项表!$G:$G,累计考核费用!$B93,考核调整事项表!$D:$D,累计考核费用!Q$55)+SUMIFS(考核调整事项表!$E:$E,考核调整事项表!$G:$G,累计考核费用!$B93,考核调整事项表!$F:$F,累计考核费用!Q$55)</f>
        <v>0</v>
      </c>
      <c r="R93" s="302">
        <f>SUMIFS(考核调整事项表!$C:$C,考核调整事项表!$G:$G,累计考核费用!$B93,考核调整事项表!$D:$D,累计考核费用!R$55)+SUMIFS(考核调整事项表!$E:$E,考核调整事项表!$G:$G,累计考核费用!$B93,考核调整事项表!$F:$F,累计考核费用!R$55)</f>
        <v>0</v>
      </c>
      <c r="S93" s="302">
        <f>SUMIFS(考核调整事项表!$C:$C,考核调整事项表!$G:$G,累计考核费用!$B93,考核调整事项表!$D:$D,累计考核费用!S$55)+SUMIFS(考核调整事项表!$E:$E,考核调整事项表!$G:$G,累计考核费用!$B93,考核调整事项表!$F:$F,累计考核费用!S$55)</f>
        <v>0</v>
      </c>
      <c r="T93" s="305">
        <f t="shared" si="15"/>
        <v>0</v>
      </c>
      <c r="U93" s="302">
        <f>SUMIFS(考核调整事项表!$C:$C,考核调整事项表!$G:$G,累计考核费用!$B93,考核调整事项表!$D:$D,累计考核费用!U$55)+SUMIFS(考核调整事项表!$E:$E,考核调整事项表!$G:$G,累计考核费用!$B93,考核调整事项表!$F:$F,累计考核费用!U$55)</f>
        <v>0</v>
      </c>
      <c r="V93" s="302">
        <f>SUMIFS(考核调整事项表!$C:$C,考核调整事项表!$G:$G,累计考核费用!$B93,考核调整事项表!$D:$D,累计考核费用!V$55)+SUMIFS(考核调整事项表!$E:$E,考核调整事项表!$G:$G,累计考核费用!$B93,考核调整事项表!$F:$F,累计考核费用!V$55)</f>
        <v>0</v>
      </c>
      <c r="W93" s="302">
        <f>SUMIFS(考核调整事项表!$C:$C,考核调整事项表!$G:$G,累计考核费用!$B93,考核调整事项表!$D:$D,累计考核费用!W$55)+SUMIFS(考核调整事项表!$E:$E,考核调整事项表!$G:$G,累计考核费用!$B93,考核调整事项表!$F:$F,累计考核费用!W$55)</f>
        <v>0</v>
      </c>
      <c r="X93" s="302">
        <f>SUMIFS(考核调整事项表!$C:$C,考核调整事项表!$G:$G,累计考核费用!$B93,考核调整事项表!$D:$D,累计考核费用!X$55)+SUMIFS(考核调整事项表!$E:$E,考核调整事项表!$G:$G,累计考核费用!$B93,考核调整事项表!$F:$F,累计考核费用!X$55)</f>
        <v>0</v>
      </c>
      <c r="Y93" s="302">
        <f>SUMIFS(考核调整事项表!$C:$C,考核调整事项表!$G:$G,累计考核费用!$B93,考核调整事项表!$D:$D,累计考核费用!Y$55)+SUMIFS(考核调整事项表!$E:$E,考核调整事项表!$G:$G,累计考核费用!$B93,考核调整事项表!$F:$F,累计考核费用!Y$55)</f>
        <v>0</v>
      </c>
      <c r="Z93" s="302">
        <f>SUMIFS(考核调整事项表!$C:$C,考核调整事项表!$G:$G,累计考核费用!$B93,考核调整事项表!$D:$D,累计考核费用!Z$55)+SUMIFS(考核调整事项表!$E:$E,考核调整事项表!$G:$G,累计考核费用!$B93,考核调整事项表!$F:$F,累计考核费用!Z$55)</f>
        <v>0</v>
      </c>
      <c r="AA93" s="302">
        <f>SUMIFS(考核调整事项表!$C:$C,考核调整事项表!$G:$G,累计考核费用!$B93,考核调整事项表!$D:$D,累计考核费用!AA$55)+SUMIFS(考核调整事项表!$E:$E,考核调整事项表!$G:$G,累计考核费用!$B93,考核调整事项表!$F:$F,累计考核费用!AA$55)</f>
        <v>0</v>
      </c>
      <c r="AB93" s="302">
        <f>SUMIFS(考核调整事项表!$C:$C,考核调整事项表!$G:$G,累计考核费用!$B93,考核调整事项表!$D:$D,累计考核费用!AB$55)+SUMIFS(考核调整事项表!$E:$E,考核调整事项表!$G:$G,累计考核费用!$B93,考核调整事项表!$F:$F,累计考核费用!AB$55)</f>
        <v>0</v>
      </c>
      <c r="AC93" s="302">
        <f>SUMIFS(考核调整事项表!$C:$C,考核调整事项表!$G:$G,累计考核费用!$B93,考核调整事项表!$D:$D,累计考核费用!AC$55)+SUMIFS(考核调整事项表!$E:$E,考核调整事项表!$G:$G,累计考核费用!$B93,考核调整事项表!$F:$F,累计考核费用!AC$55)</f>
        <v>0</v>
      </c>
    </row>
    <row r="94" spans="1:29">
      <c r="A94" s="19"/>
      <c r="B94" s="57" t="s">
        <v>131</v>
      </c>
      <c r="C94" s="11">
        <f t="shared" si="7"/>
        <v>0</v>
      </c>
      <c r="D94" s="302">
        <f>SUMIFS(考核调整事项表!$C:$C,考核调整事项表!$G:$G,累计考核费用!$B94,考核调整事项表!$D:$D,累计考核费用!D$55)+SUMIFS(考核调整事项表!$E:$E,考核调整事项表!$G:$G,累计考核费用!$B94,考核调整事项表!$F:$F,累计考核费用!D$55)</f>
        <v>0</v>
      </c>
      <c r="E94" s="302">
        <f>SUMIFS(考核调整事项表!$C:$C,考核调整事项表!$G:$G,累计考核费用!$B94,考核调整事项表!$D:$D,累计考核费用!E$55)+SUMIFS(考核调整事项表!$E:$E,考核调整事项表!$G:$G,累计考核费用!$B94,考核调整事项表!$F:$F,累计考核费用!E$55)+H94+S94+AB94+AC94</f>
        <v>0</v>
      </c>
      <c r="F94" s="302">
        <f>SUMIFS(考核调整事项表!$C:$C,考核调整事项表!$G:$G,累计考核费用!$B94,考核调整事项表!$D:$D,累计考核费用!F$55)+SUMIFS(考核调整事项表!$E:$E,考核调整事项表!$G:$G,累计考核费用!$B94,考核调整事项表!$F:$F,累计考核费用!F$55)</f>
        <v>0</v>
      </c>
      <c r="G94" s="302">
        <f t="shared" si="8"/>
        <v>0</v>
      </c>
      <c r="H94" s="302">
        <f>SUMIFS(考核调整事项表!$C:$C,考核调整事项表!$G:$G,累计考核费用!$B94,考核调整事项表!$D:$D,累计考核费用!H$55)+SUMIFS(考核调整事项表!$E:$E,考核调整事项表!$G:$G,累计考核费用!$B94,考核调整事项表!$F:$F,累计考核费用!H$55)</f>
        <v>0</v>
      </c>
      <c r="I94" s="302">
        <f>SUMIFS(考核调整事项表!$C:$C,考核调整事项表!$G:$G,累计考核费用!$B94,考核调整事项表!$D:$D,累计考核费用!I$55)+SUMIFS(考核调整事项表!$E:$E,考核调整事项表!$G:$G,累计考核费用!$B94,考核调整事项表!$F:$F,累计考核费用!I$55)</f>
        <v>0</v>
      </c>
      <c r="J94" s="302">
        <f>SUMIFS(考核调整事项表!$C:$C,考核调整事项表!$G:$G,累计考核费用!$B94,考核调整事项表!$D:$D,累计考核费用!J$55)+SUMIFS(考核调整事项表!$E:$E,考核调整事项表!$G:$G,累计考核费用!$B94,考核调整事项表!$F:$F,累计考核费用!J$55)</f>
        <v>0</v>
      </c>
      <c r="K94" s="302">
        <f>SUMIFS(考核调整事项表!$C:$C,考核调整事项表!$G:$G,累计考核费用!$B94,考核调整事项表!$D:$D,累计考核费用!K$55)+SUMIFS(考核调整事项表!$E:$E,考核调整事项表!$G:$G,累计考核费用!$B94,考核调整事项表!$F:$F,累计考核费用!K$55)</f>
        <v>0</v>
      </c>
      <c r="L94" s="302">
        <f t="shared" si="9"/>
        <v>0</v>
      </c>
      <c r="M94" s="302">
        <f>SUMIFS(考核调整事项表!$C:$C,考核调整事项表!$G:$G,累计考核费用!$B94,考核调整事项表!$D:$D,累计考核费用!M$55)+SUMIFS(考核调整事项表!$E:$E,考核调整事项表!$G:$G,累计考核费用!$B94,考核调整事项表!$F:$F,累计考核费用!M$55)</f>
        <v>0</v>
      </c>
      <c r="N94" s="302">
        <f>SUMIFS(考核调整事项表!$C:$C,考核调整事项表!$G:$G,累计考核费用!$B94,考核调整事项表!$D:$D,累计考核费用!N$55)+SUMIFS(考核调整事项表!$E:$E,考核调整事项表!$G:$G,累计考核费用!$B94,考核调整事项表!$F:$F,累计考核费用!N$55)</f>
        <v>0</v>
      </c>
      <c r="O94" s="302">
        <f>SUMIFS(考核调整事项表!$C:$C,考核调整事项表!$G:$G,累计考核费用!$B94,考核调整事项表!$D:$D,累计考核费用!O$55)+SUMIFS(考核调整事项表!$E:$E,考核调整事项表!$G:$G,累计考核费用!$B94,考核调整事项表!$F:$F,累计考核费用!O$55)</f>
        <v>0</v>
      </c>
      <c r="P94" s="302">
        <f>SUMIFS(考核调整事项表!$C:$C,考核调整事项表!$G:$G,累计考核费用!$B94,考核调整事项表!$D:$D,累计考核费用!P$55)+SUMIFS(考核调整事项表!$E:$E,考核调整事项表!$G:$G,累计考核费用!$B94,考核调整事项表!$F:$F,累计考核费用!P$55)</f>
        <v>0</v>
      </c>
      <c r="Q94" s="302">
        <f>SUMIFS(考核调整事项表!$C:$C,考核调整事项表!$G:$G,累计考核费用!$B94,考核调整事项表!$D:$D,累计考核费用!Q$55)+SUMIFS(考核调整事项表!$E:$E,考核调整事项表!$G:$G,累计考核费用!$B94,考核调整事项表!$F:$F,累计考核费用!Q$55)</f>
        <v>0</v>
      </c>
      <c r="R94" s="302">
        <f>SUMIFS(考核调整事项表!$C:$C,考核调整事项表!$G:$G,累计考核费用!$B94,考核调整事项表!$D:$D,累计考核费用!R$55)+SUMIFS(考核调整事项表!$E:$E,考核调整事项表!$G:$G,累计考核费用!$B94,考核调整事项表!$F:$F,累计考核费用!R$55)</f>
        <v>0</v>
      </c>
      <c r="S94" s="302">
        <f>SUMIFS(考核调整事项表!$C:$C,考核调整事项表!$G:$G,累计考核费用!$B94,考核调整事项表!$D:$D,累计考核费用!S$55)+SUMIFS(考核调整事项表!$E:$E,考核调整事项表!$G:$G,累计考核费用!$B94,考核调整事项表!$F:$F,累计考核费用!S$55)</f>
        <v>0</v>
      </c>
      <c r="T94" s="305">
        <f t="shared" si="15"/>
        <v>0</v>
      </c>
      <c r="U94" s="302">
        <f>SUMIFS(考核调整事项表!$C:$C,考核调整事项表!$G:$G,累计考核费用!$B94,考核调整事项表!$D:$D,累计考核费用!U$55)+SUMIFS(考核调整事项表!$E:$E,考核调整事项表!$G:$G,累计考核费用!$B94,考核调整事项表!$F:$F,累计考核费用!U$55)</f>
        <v>0</v>
      </c>
      <c r="V94" s="302">
        <f>SUMIFS(考核调整事项表!$C:$C,考核调整事项表!$G:$G,累计考核费用!$B94,考核调整事项表!$D:$D,累计考核费用!V$55)+SUMIFS(考核调整事项表!$E:$E,考核调整事项表!$G:$G,累计考核费用!$B94,考核调整事项表!$F:$F,累计考核费用!V$55)</f>
        <v>0</v>
      </c>
      <c r="W94" s="302">
        <f>SUMIFS(考核调整事项表!$C:$C,考核调整事项表!$G:$G,累计考核费用!$B94,考核调整事项表!$D:$D,累计考核费用!W$55)+SUMIFS(考核调整事项表!$E:$E,考核调整事项表!$G:$G,累计考核费用!$B94,考核调整事项表!$F:$F,累计考核费用!W$55)</f>
        <v>0</v>
      </c>
      <c r="X94" s="302">
        <f>SUMIFS(考核调整事项表!$C:$C,考核调整事项表!$G:$G,累计考核费用!$B94,考核调整事项表!$D:$D,累计考核费用!X$55)+SUMIFS(考核调整事项表!$E:$E,考核调整事项表!$G:$G,累计考核费用!$B94,考核调整事项表!$F:$F,累计考核费用!X$55)</f>
        <v>0</v>
      </c>
      <c r="Y94" s="302">
        <f>SUMIFS(考核调整事项表!$C:$C,考核调整事项表!$G:$G,累计考核费用!$B94,考核调整事项表!$D:$D,累计考核费用!Y$55)+SUMIFS(考核调整事项表!$E:$E,考核调整事项表!$G:$G,累计考核费用!$B94,考核调整事项表!$F:$F,累计考核费用!Y$55)</f>
        <v>0</v>
      </c>
      <c r="Z94" s="302">
        <f>SUMIFS(考核调整事项表!$C:$C,考核调整事项表!$G:$G,累计考核费用!$B94,考核调整事项表!$D:$D,累计考核费用!Z$55)+SUMIFS(考核调整事项表!$E:$E,考核调整事项表!$G:$G,累计考核费用!$B94,考核调整事项表!$F:$F,累计考核费用!Z$55)</f>
        <v>0</v>
      </c>
      <c r="AA94" s="302">
        <f>SUMIFS(考核调整事项表!$C:$C,考核调整事项表!$G:$G,累计考核费用!$B94,考核调整事项表!$D:$D,累计考核费用!AA$55)+SUMIFS(考核调整事项表!$E:$E,考核调整事项表!$G:$G,累计考核费用!$B94,考核调整事项表!$F:$F,累计考核费用!AA$55)</f>
        <v>0</v>
      </c>
      <c r="AB94" s="302">
        <f>SUMIFS(考核调整事项表!$C:$C,考核调整事项表!$G:$G,累计考核费用!$B94,考核调整事项表!$D:$D,累计考核费用!AB$55)+SUMIFS(考核调整事项表!$E:$E,考核调整事项表!$G:$G,累计考核费用!$B94,考核调整事项表!$F:$F,累计考核费用!AB$55)</f>
        <v>0</v>
      </c>
      <c r="AC94" s="302">
        <f>SUMIFS(考核调整事项表!$C:$C,考核调整事项表!$G:$G,累计考核费用!$B94,考核调整事项表!$D:$D,累计考核费用!AC$55)+SUMIFS(考核调整事项表!$E:$E,考核调整事项表!$G:$G,累计考核费用!$B94,考核调整事项表!$F:$F,累计考核费用!AC$55)</f>
        <v>0</v>
      </c>
    </row>
    <row r="95" spans="1:29">
      <c r="A95" s="19"/>
      <c r="B95" s="57" t="s">
        <v>132</v>
      </c>
      <c r="C95" s="11">
        <f t="shared" si="7"/>
        <v>0</v>
      </c>
      <c r="D95" s="302">
        <f>SUMIFS(考核调整事项表!$C:$C,考核调整事项表!$G:$G,累计考核费用!$B95,考核调整事项表!$D:$D,累计考核费用!D$55)+SUMIFS(考核调整事项表!$E:$E,考核调整事项表!$G:$G,累计考核费用!$B95,考核调整事项表!$F:$F,累计考核费用!D$55)</f>
        <v>0</v>
      </c>
      <c r="E95" s="302">
        <f>SUMIFS(考核调整事项表!$C:$C,考核调整事项表!$G:$G,累计考核费用!$B95,考核调整事项表!$D:$D,累计考核费用!E$55)+SUMIFS(考核调整事项表!$E:$E,考核调整事项表!$G:$G,累计考核费用!$B95,考核调整事项表!$F:$F,累计考核费用!E$55)+H95+S95+AB95+AC95</f>
        <v>0</v>
      </c>
      <c r="F95" s="302">
        <f>SUMIFS(考核调整事项表!$C:$C,考核调整事项表!$G:$G,累计考核费用!$B95,考核调整事项表!$D:$D,累计考核费用!F$55)+SUMIFS(考核调整事项表!$E:$E,考核调整事项表!$G:$G,累计考核费用!$B95,考核调整事项表!$F:$F,累计考核费用!F$55)</f>
        <v>0</v>
      </c>
      <c r="G95" s="302">
        <f t="shared" si="8"/>
        <v>0</v>
      </c>
      <c r="H95" s="302">
        <f>SUMIFS(考核调整事项表!$C:$C,考核调整事项表!$G:$G,累计考核费用!$B95,考核调整事项表!$D:$D,累计考核费用!H$55)+SUMIFS(考核调整事项表!$E:$E,考核调整事项表!$G:$G,累计考核费用!$B95,考核调整事项表!$F:$F,累计考核费用!H$55)</f>
        <v>0</v>
      </c>
      <c r="I95" s="302">
        <f>SUMIFS(考核调整事项表!$C:$C,考核调整事项表!$G:$G,累计考核费用!$B95,考核调整事项表!$D:$D,累计考核费用!I$55)+SUMIFS(考核调整事项表!$E:$E,考核调整事项表!$G:$G,累计考核费用!$B95,考核调整事项表!$F:$F,累计考核费用!I$55)</f>
        <v>0</v>
      </c>
      <c r="J95" s="302">
        <f>SUMIFS(考核调整事项表!$C:$C,考核调整事项表!$G:$G,累计考核费用!$B95,考核调整事项表!$D:$D,累计考核费用!J$55)+SUMIFS(考核调整事项表!$E:$E,考核调整事项表!$G:$G,累计考核费用!$B95,考核调整事项表!$F:$F,累计考核费用!J$55)</f>
        <v>0</v>
      </c>
      <c r="K95" s="302">
        <f>SUMIFS(考核调整事项表!$C:$C,考核调整事项表!$G:$G,累计考核费用!$B95,考核调整事项表!$D:$D,累计考核费用!K$55)+SUMIFS(考核调整事项表!$E:$E,考核调整事项表!$G:$G,累计考核费用!$B95,考核调整事项表!$F:$F,累计考核费用!K$55)</f>
        <v>0</v>
      </c>
      <c r="L95" s="302">
        <f t="shared" si="9"/>
        <v>0</v>
      </c>
      <c r="M95" s="302">
        <f>SUMIFS(考核调整事项表!$C:$C,考核调整事项表!$G:$G,累计考核费用!$B95,考核调整事项表!$D:$D,累计考核费用!M$55)+SUMIFS(考核调整事项表!$E:$E,考核调整事项表!$G:$G,累计考核费用!$B95,考核调整事项表!$F:$F,累计考核费用!M$55)</f>
        <v>0</v>
      </c>
      <c r="N95" s="302">
        <f>SUMIFS(考核调整事项表!$C:$C,考核调整事项表!$G:$G,累计考核费用!$B95,考核调整事项表!$D:$D,累计考核费用!N$55)+SUMIFS(考核调整事项表!$E:$E,考核调整事项表!$G:$G,累计考核费用!$B95,考核调整事项表!$F:$F,累计考核费用!N$55)</f>
        <v>0</v>
      </c>
      <c r="O95" s="302">
        <f>SUMIFS(考核调整事项表!$C:$C,考核调整事项表!$G:$G,累计考核费用!$B95,考核调整事项表!$D:$D,累计考核费用!O$55)+SUMIFS(考核调整事项表!$E:$E,考核调整事项表!$G:$G,累计考核费用!$B95,考核调整事项表!$F:$F,累计考核费用!O$55)</f>
        <v>0</v>
      </c>
      <c r="P95" s="302">
        <f>SUMIFS(考核调整事项表!$C:$C,考核调整事项表!$G:$G,累计考核费用!$B95,考核调整事项表!$D:$D,累计考核费用!P$55)+SUMIFS(考核调整事项表!$E:$E,考核调整事项表!$G:$G,累计考核费用!$B95,考核调整事项表!$F:$F,累计考核费用!P$55)</f>
        <v>0</v>
      </c>
      <c r="Q95" s="302">
        <f>SUMIFS(考核调整事项表!$C:$C,考核调整事项表!$G:$G,累计考核费用!$B95,考核调整事项表!$D:$D,累计考核费用!Q$55)+SUMIFS(考核调整事项表!$E:$E,考核调整事项表!$G:$G,累计考核费用!$B95,考核调整事项表!$F:$F,累计考核费用!Q$55)</f>
        <v>0</v>
      </c>
      <c r="R95" s="302">
        <f>SUMIFS(考核调整事项表!$C:$C,考核调整事项表!$G:$G,累计考核费用!$B95,考核调整事项表!$D:$D,累计考核费用!R$55)+SUMIFS(考核调整事项表!$E:$E,考核调整事项表!$G:$G,累计考核费用!$B95,考核调整事项表!$F:$F,累计考核费用!R$55)</f>
        <v>0</v>
      </c>
      <c r="S95" s="302">
        <f>SUMIFS(考核调整事项表!$C:$C,考核调整事项表!$G:$G,累计考核费用!$B95,考核调整事项表!$D:$D,累计考核费用!S$55)+SUMIFS(考核调整事项表!$E:$E,考核调整事项表!$G:$G,累计考核费用!$B95,考核调整事项表!$F:$F,累计考核费用!S$55)</f>
        <v>0</v>
      </c>
      <c r="T95" s="305">
        <f t="shared" si="15"/>
        <v>0</v>
      </c>
      <c r="U95" s="302">
        <f>SUMIFS(考核调整事项表!$C:$C,考核调整事项表!$G:$G,累计考核费用!$B95,考核调整事项表!$D:$D,累计考核费用!U$55)+SUMIFS(考核调整事项表!$E:$E,考核调整事项表!$G:$G,累计考核费用!$B95,考核调整事项表!$F:$F,累计考核费用!U$55)</f>
        <v>0</v>
      </c>
      <c r="V95" s="302">
        <f>SUMIFS(考核调整事项表!$C:$C,考核调整事项表!$G:$G,累计考核费用!$B95,考核调整事项表!$D:$D,累计考核费用!V$55)+SUMIFS(考核调整事项表!$E:$E,考核调整事项表!$G:$G,累计考核费用!$B95,考核调整事项表!$F:$F,累计考核费用!V$55)</f>
        <v>0</v>
      </c>
      <c r="W95" s="302">
        <f>SUMIFS(考核调整事项表!$C:$C,考核调整事项表!$G:$G,累计考核费用!$B95,考核调整事项表!$D:$D,累计考核费用!W$55)+SUMIFS(考核调整事项表!$E:$E,考核调整事项表!$G:$G,累计考核费用!$B95,考核调整事项表!$F:$F,累计考核费用!W$55)</f>
        <v>0</v>
      </c>
      <c r="X95" s="302">
        <f>SUMIFS(考核调整事项表!$C:$C,考核调整事项表!$G:$G,累计考核费用!$B95,考核调整事项表!$D:$D,累计考核费用!X$55)+SUMIFS(考核调整事项表!$E:$E,考核调整事项表!$G:$G,累计考核费用!$B95,考核调整事项表!$F:$F,累计考核费用!X$55)</f>
        <v>0</v>
      </c>
      <c r="Y95" s="302">
        <f>SUMIFS(考核调整事项表!$C:$C,考核调整事项表!$G:$G,累计考核费用!$B95,考核调整事项表!$D:$D,累计考核费用!Y$55)+SUMIFS(考核调整事项表!$E:$E,考核调整事项表!$G:$G,累计考核费用!$B95,考核调整事项表!$F:$F,累计考核费用!Y$55)</f>
        <v>0</v>
      </c>
      <c r="Z95" s="302">
        <f>SUMIFS(考核调整事项表!$C:$C,考核调整事项表!$G:$G,累计考核费用!$B95,考核调整事项表!$D:$D,累计考核费用!Z$55)+SUMIFS(考核调整事项表!$E:$E,考核调整事项表!$G:$G,累计考核费用!$B95,考核调整事项表!$F:$F,累计考核费用!Z$55)</f>
        <v>0</v>
      </c>
      <c r="AA95" s="302">
        <f>SUMIFS(考核调整事项表!$C:$C,考核调整事项表!$G:$G,累计考核费用!$B95,考核调整事项表!$D:$D,累计考核费用!AA$55)+SUMIFS(考核调整事项表!$E:$E,考核调整事项表!$G:$G,累计考核费用!$B95,考核调整事项表!$F:$F,累计考核费用!AA$55)</f>
        <v>0</v>
      </c>
      <c r="AB95" s="302">
        <f>SUMIFS(考核调整事项表!$C:$C,考核调整事项表!$G:$G,累计考核费用!$B95,考核调整事项表!$D:$D,累计考核费用!AB$55)+SUMIFS(考核调整事项表!$E:$E,考核调整事项表!$G:$G,累计考核费用!$B95,考核调整事项表!$F:$F,累计考核费用!AB$55)</f>
        <v>0</v>
      </c>
      <c r="AC95" s="302">
        <f>SUMIFS(考核调整事项表!$C:$C,考核调整事项表!$G:$G,累计考核费用!$B95,考核调整事项表!$D:$D,累计考核费用!AC$55)+SUMIFS(考核调整事项表!$E:$E,考核调整事项表!$G:$G,累计考核费用!$B95,考核调整事项表!$F:$F,累计考核费用!AC$55)</f>
        <v>0</v>
      </c>
    </row>
    <row r="96" customHeight="1" spans="1:29">
      <c r="A96" s="19"/>
      <c r="B96" s="57" t="s">
        <v>133</v>
      </c>
      <c r="C96" s="11">
        <f t="shared" si="7"/>
        <v>0</v>
      </c>
      <c r="D96" s="302">
        <f>SUMIFS(考核调整事项表!$C:$C,考核调整事项表!$G:$G,累计考核费用!$B96,考核调整事项表!$D:$D,累计考核费用!D$55)+SUMIFS(考核调整事项表!$E:$E,考核调整事项表!$G:$G,累计考核费用!$B96,考核调整事项表!$F:$F,累计考核费用!D$55)</f>
        <v>0</v>
      </c>
      <c r="E96" s="302">
        <f>SUMIFS(考核调整事项表!$C:$C,考核调整事项表!$G:$G,累计考核费用!$B96,考核调整事项表!$D:$D,累计考核费用!E$55)+SUMIFS(考核调整事项表!$E:$E,考核调整事项表!$G:$G,累计考核费用!$B96,考核调整事项表!$F:$F,累计考核费用!E$55)+H96+S96+AB96+AC96</f>
        <v>0</v>
      </c>
      <c r="F96" s="302">
        <f>SUMIFS(考核调整事项表!$C:$C,考核调整事项表!$G:$G,累计考核费用!$B96,考核调整事项表!$D:$D,累计考核费用!F$55)+SUMIFS(考核调整事项表!$E:$E,考核调整事项表!$G:$G,累计考核费用!$B96,考核调整事项表!$F:$F,累计考核费用!F$55)</f>
        <v>0</v>
      </c>
      <c r="G96" s="302">
        <f t="shared" si="8"/>
        <v>0</v>
      </c>
      <c r="H96" s="302">
        <f>SUMIFS(考核调整事项表!$C:$C,考核调整事项表!$G:$G,累计考核费用!$B96,考核调整事项表!$D:$D,累计考核费用!H$55)+SUMIFS(考核调整事项表!$E:$E,考核调整事项表!$G:$G,累计考核费用!$B96,考核调整事项表!$F:$F,累计考核费用!H$55)</f>
        <v>0</v>
      </c>
      <c r="I96" s="302">
        <f>SUMIFS(考核调整事项表!$C:$C,考核调整事项表!$G:$G,累计考核费用!$B96,考核调整事项表!$D:$D,累计考核费用!I$55)+SUMIFS(考核调整事项表!$E:$E,考核调整事项表!$G:$G,累计考核费用!$B96,考核调整事项表!$F:$F,累计考核费用!I$55)</f>
        <v>0</v>
      </c>
      <c r="J96" s="302">
        <f>SUMIFS(考核调整事项表!$C:$C,考核调整事项表!$G:$G,累计考核费用!$B96,考核调整事项表!$D:$D,累计考核费用!J$55)+SUMIFS(考核调整事项表!$E:$E,考核调整事项表!$G:$G,累计考核费用!$B96,考核调整事项表!$F:$F,累计考核费用!J$55)</f>
        <v>0</v>
      </c>
      <c r="K96" s="302">
        <f>SUMIFS(考核调整事项表!$C:$C,考核调整事项表!$G:$G,累计考核费用!$B96,考核调整事项表!$D:$D,累计考核费用!K$55)+SUMIFS(考核调整事项表!$E:$E,考核调整事项表!$G:$G,累计考核费用!$B96,考核调整事项表!$F:$F,累计考核费用!K$55)</f>
        <v>0</v>
      </c>
      <c r="L96" s="302">
        <f t="shared" si="9"/>
        <v>0</v>
      </c>
      <c r="M96" s="302">
        <f>SUMIFS(考核调整事项表!$C:$C,考核调整事项表!$G:$G,累计考核费用!$B96,考核调整事项表!$D:$D,累计考核费用!M$55)+SUMIFS(考核调整事项表!$E:$E,考核调整事项表!$G:$G,累计考核费用!$B96,考核调整事项表!$F:$F,累计考核费用!M$55)</f>
        <v>0</v>
      </c>
      <c r="N96" s="302">
        <f>SUMIFS(考核调整事项表!$C:$C,考核调整事项表!$G:$G,累计考核费用!$B96,考核调整事项表!$D:$D,累计考核费用!N$55)+SUMIFS(考核调整事项表!$E:$E,考核调整事项表!$G:$G,累计考核费用!$B96,考核调整事项表!$F:$F,累计考核费用!N$55)</f>
        <v>0</v>
      </c>
      <c r="O96" s="302">
        <f>SUMIFS(考核调整事项表!$C:$C,考核调整事项表!$G:$G,累计考核费用!$B96,考核调整事项表!$D:$D,累计考核费用!O$55)+SUMIFS(考核调整事项表!$E:$E,考核调整事项表!$G:$G,累计考核费用!$B96,考核调整事项表!$F:$F,累计考核费用!O$55)</f>
        <v>0</v>
      </c>
      <c r="P96" s="302">
        <f>SUMIFS(考核调整事项表!$C:$C,考核调整事项表!$G:$G,累计考核费用!$B96,考核调整事项表!$D:$D,累计考核费用!P$55)+SUMIFS(考核调整事项表!$E:$E,考核调整事项表!$G:$G,累计考核费用!$B96,考核调整事项表!$F:$F,累计考核费用!P$55)</f>
        <v>0</v>
      </c>
      <c r="Q96" s="302">
        <f>SUMIFS(考核调整事项表!$C:$C,考核调整事项表!$G:$G,累计考核费用!$B96,考核调整事项表!$D:$D,累计考核费用!Q$55)+SUMIFS(考核调整事项表!$E:$E,考核调整事项表!$G:$G,累计考核费用!$B96,考核调整事项表!$F:$F,累计考核费用!Q$55)</f>
        <v>0</v>
      </c>
      <c r="R96" s="302">
        <f>SUMIFS(考核调整事项表!$C:$C,考核调整事项表!$G:$G,累计考核费用!$B96,考核调整事项表!$D:$D,累计考核费用!R$55)+SUMIFS(考核调整事项表!$E:$E,考核调整事项表!$G:$G,累计考核费用!$B96,考核调整事项表!$F:$F,累计考核费用!R$55)</f>
        <v>0</v>
      </c>
      <c r="S96" s="302">
        <f>SUMIFS(考核调整事项表!$C:$C,考核调整事项表!$G:$G,累计考核费用!$B96,考核调整事项表!$D:$D,累计考核费用!S$55)+SUMIFS(考核调整事项表!$E:$E,考核调整事项表!$G:$G,累计考核费用!$B96,考核调整事项表!$F:$F,累计考核费用!S$55)</f>
        <v>0</v>
      </c>
      <c r="T96" s="305">
        <f t="shared" si="15"/>
        <v>0</v>
      </c>
      <c r="U96" s="302">
        <f>SUMIFS(考核调整事项表!$C:$C,考核调整事项表!$G:$G,累计考核费用!$B96,考核调整事项表!$D:$D,累计考核费用!U$55)+SUMIFS(考核调整事项表!$E:$E,考核调整事项表!$G:$G,累计考核费用!$B96,考核调整事项表!$F:$F,累计考核费用!U$55)</f>
        <v>0</v>
      </c>
      <c r="V96" s="302">
        <f>SUMIFS(考核调整事项表!$C:$C,考核调整事项表!$G:$G,累计考核费用!$B96,考核调整事项表!$D:$D,累计考核费用!V$55)+SUMIFS(考核调整事项表!$E:$E,考核调整事项表!$G:$G,累计考核费用!$B96,考核调整事项表!$F:$F,累计考核费用!V$55)</f>
        <v>0</v>
      </c>
      <c r="W96" s="302">
        <f>SUMIFS(考核调整事项表!$C:$C,考核调整事项表!$G:$G,累计考核费用!$B96,考核调整事项表!$D:$D,累计考核费用!W$55)+SUMIFS(考核调整事项表!$E:$E,考核调整事项表!$G:$G,累计考核费用!$B96,考核调整事项表!$F:$F,累计考核费用!W$55)</f>
        <v>0</v>
      </c>
      <c r="X96" s="302">
        <f>SUMIFS(考核调整事项表!$C:$C,考核调整事项表!$G:$G,累计考核费用!$B96,考核调整事项表!$D:$D,累计考核费用!X$55)+SUMIFS(考核调整事项表!$E:$E,考核调整事项表!$G:$G,累计考核费用!$B96,考核调整事项表!$F:$F,累计考核费用!X$55)</f>
        <v>0</v>
      </c>
      <c r="Y96" s="302">
        <f>SUMIFS(考核调整事项表!$C:$C,考核调整事项表!$G:$G,累计考核费用!$B96,考核调整事项表!$D:$D,累计考核费用!Y$55)+SUMIFS(考核调整事项表!$E:$E,考核调整事项表!$G:$G,累计考核费用!$B96,考核调整事项表!$F:$F,累计考核费用!Y$55)</f>
        <v>0</v>
      </c>
      <c r="Z96" s="302">
        <f>SUMIFS(考核调整事项表!$C:$C,考核调整事项表!$G:$G,累计考核费用!$B96,考核调整事项表!$D:$D,累计考核费用!Z$55)+SUMIFS(考核调整事项表!$E:$E,考核调整事项表!$G:$G,累计考核费用!$B96,考核调整事项表!$F:$F,累计考核费用!Z$55)</f>
        <v>0</v>
      </c>
      <c r="AA96" s="302">
        <f>SUMIFS(考核调整事项表!$C:$C,考核调整事项表!$G:$G,累计考核费用!$B96,考核调整事项表!$D:$D,累计考核费用!AA$55)+SUMIFS(考核调整事项表!$E:$E,考核调整事项表!$G:$G,累计考核费用!$B96,考核调整事项表!$F:$F,累计考核费用!AA$55)</f>
        <v>0</v>
      </c>
      <c r="AB96" s="302">
        <f>SUMIFS(考核调整事项表!$C:$C,考核调整事项表!$G:$G,累计考核费用!$B96,考核调整事项表!$D:$D,累计考核费用!AB$55)+SUMIFS(考核调整事项表!$E:$E,考核调整事项表!$G:$G,累计考核费用!$B96,考核调整事项表!$F:$F,累计考核费用!AB$55)</f>
        <v>0</v>
      </c>
      <c r="AC96" s="302">
        <f>SUMIFS(考核调整事项表!$C:$C,考核调整事项表!$G:$G,累计考核费用!$B96,考核调整事项表!$D:$D,累计考核费用!AC$55)+SUMIFS(考核调整事项表!$E:$E,考核调整事项表!$G:$G,累计考核费用!$B96,考核调整事项表!$F:$F,累计考核费用!AC$55)</f>
        <v>0</v>
      </c>
    </row>
    <row r="97" spans="1:29">
      <c r="A97" s="19"/>
      <c r="B97" s="57" t="s">
        <v>134</v>
      </c>
      <c r="C97" s="11">
        <f t="shared" si="7"/>
        <v>0</v>
      </c>
      <c r="D97" s="302">
        <f>SUMIFS(考核调整事项表!$C:$C,考核调整事项表!$G:$G,累计考核费用!$B97,考核调整事项表!$D:$D,累计考核费用!D$55)+SUMIFS(考核调整事项表!$E:$E,考核调整事项表!$G:$G,累计考核费用!$B97,考核调整事项表!$F:$F,累计考核费用!D$55)</f>
        <v>0</v>
      </c>
      <c r="E97" s="302">
        <f>SUMIFS(考核调整事项表!$C:$C,考核调整事项表!$G:$G,累计考核费用!$B97,考核调整事项表!$D:$D,累计考核费用!E$55)+SUMIFS(考核调整事项表!$E:$E,考核调整事项表!$G:$G,累计考核费用!$B97,考核调整事项表!$F:$F,累计考核费用!E$55)+H97+S97+AB97+AC97</f>
        <v>0</v>
      </c>
      <c r="F97" s="302">
        <f>SUMIFS(考核调整事项表!$C:$C,考核调整事项表!$G:$G,累计考核费用!$B97,考核调整事项表!$D:$D,累计考核费用!F$55)+SUMIFS(考核调整事项表!$E:$E,考核调整事项表!$G:$G,累计考核费用!$B97,考核调整事项表!$F:$F,累计考核费用!F$55)</f>
        <v>0</v>
      </c>
      <c r="G97" s="302">
        <f t="shared" si="8"/>
        <v>0</v>
      </c>
      <c r="H97" s="302">
        <f>SUMIFS(考核调整事项表!$C:$C,考核调整事项表!$G:$G,累计考核费用!$B97,考核调整事项表!$D:$D,累计考核费用!H$55)+SUMIFS(考核调整事项表!$E:$E,考核调整事项表!$G:$G,累计考核费用!$B97,考核调整事项表!$F:$F,累计考核费用!H$55)</f>
        <v>0</v>
      </c>
      <c r="I97" s="302">
        <f>SUMIFS(考核调整事项表!$C:$C,考核调整事项表!$G:$G,累计考核费用!$B97,考核调整事项表!$D:$D,累计考核费用!I$55)+SUMIFS(考核调整事项表!$E:$E,考核调整事项表!$G:$G,累计考核费用!$B97,考核调整事项表!$F:$F,累计考核费用!I$55)</f>
        <v>0</v>
      </c>
      <c r="J97" s="302">
        <f>SUMIFS(考核调整事项表!$C:$C,考核调整事项表!$G:$G,累计考核费用!$B97,考核调整事项表!$D:$D,累计考核费用!J$55)+SUMIFS(考核调整事项表!$E:$E,考核调整事项表!$G:$G,累计考核费用!$B97,考核调整事项表!$F:$F,累计考核费用!J$55)</f>
        <v>0</v>
      </c>
      <c r="K97" s="302">
        <f>SUMIFS(考核调整事项表!$C:$C,考核调整事项表!$G:$G,累计考核费用!$B97,考核调整事项表!$D:$D,累计考核费用!K$55)+SUMIFS(考核调整事项表!$E:$E,考核调整事项表!$G:$G,累计考核费用!$B97,考核调整事项表!$F:$F,累计考核费用!K$55)</f>
        <v>0</v>
      </c>
      <c r="L97" s="302">
        <f t="shared" si="9"/>
        <v>0</v>
      </c>
      <c r="M97" s="302">
        <f>SUMIFS(考核调整事项表!$C:$C,考核调整事项表!$G:$G,累计考核费用!$B97,考核调整事项表!$D:$D,累计考核费用!M$55)+SUMIFS(考核调整事项表!$E:$E,考核调整事项表!$G:$G,累计考核费用!$B97,考核调整事项表!$F:$F,累计考核费用!M$55)</f>
        <v>0</v>
      </c>
      <c r="N97" s="302">
        <f>SUMIFS(考核调整事项表!$C:$C,考核调整事项表!$G:$G,累计考核费用!$B97,考核调整事项表!$D:$D,累计考核费用!N$55)+SUMIFS(考核调整事项表!$E:$E,考核调整事项表!$G:$G,累计考核费用!$B97,考核调整事项表!$F:$F,累计考核费用!N$55)</f>
        <v>0</v>
      </c>
      <c r="O97" s="302">
        <f>SUMIFS(考核调整事项表!$C:$C,考核调整事项表!$G:$G,累计考核费用!$B97,考核调整事项表!$D:$D,累计考核费用!O$55)+SUMIFS(考核调整事项表!$E:$E,考核调整事项表!$G:$G,累计考核费用!$B97,考核调整事项表!$F:$F,累计考核费用!O$55)</f>
        <v>0</v>
      </c>
      <c r="P97" s="302">
        <f>SUMIFS(考核调整事项表!$C:$C,考核调整事项表!$G:$G,累计考核费用!$B97,考核调整事项表!$D:$D,累计考核费用!P$55)+SUMIFS(考核调整事项表!$E:$E,考核调整事项表!$G:$G,累计考核费用!$B97,考核调整事项表!$F:$F,累计考核费用!P$55)</f>
        <v>0</v>
      </c>
      <c r="Q97" s="302">
        <f>SUMIFS(考核调整事项表!$C:$C,考核调整事项表!$G:$G,累计考核费用!$B97,考核调整事项表!$D:$D,累计考核费用!Q$55)+SUMIFS(考核调整事项表!$E:$E,考核调整事项表!$G:$G,累计考核费用!$B97,考核调整事项表!$F:$F,累计考核费用!Q$55)</f>
        <v>0</v>
      </c>
      <c r="R97" s="302">
        <f>SUMIFS(考核调整事项表!$C:$C,考核调整事项表!$G:$G,累计考核费用!$B97,考核调整事项表!$D:$D,累计考核费用!R$55)+SUMIFS(考核调整事项表!$E:$E,考核调整事项表!$G:$G,累计考核费用!$B97,考核调整事项表!$F:$F,累计考核费用!R$55)</f>
        <v>0</v>
      </c>
      <c r="S97" s="302">
        <f>SUMIFS(考核调整事项表!$C:$C,考核调整事项表!$G:$G,累计考核费用!$B97,考核调整事项表!$D:$D,累计考核费用!S$55)+SUMIFS(考核调整事项表!$E:$E,考核调整事项表!$G:$G,累计考核费用!$B97,考核调整事项表!$F:$F,累计考核费用!S$55)</f>
        <v>0</v>
      </c>
      <c r="T97" s="305">
        <f t="shared" si="15"/>
        <v>0</v>
      </c>
      <c r="U97" s="302">
        <f>SUMIFS(考核调整事项表!$C:$C,考核调整事项表!$G:$G,累计考核费用!$B97,考核调整事项表!$D:$D,累计考核费用!U$55)+SUMIFS(考核调整事项表!$E:$E,考核调整事项表!$G:$G,累计考核费用!$B97,考核调整事项表!$F:$F,累计考核费用!U$55)</f>
        <v>0</v>
      </c>
      <c r="V97" s="302">
        <f>SUMIFS(考核调整事项表!$C:$C,考核调整事项表!$G:$G,累计考核费用!$B97,考核调整事项表!$D:$D,累计考核费用!V$55)+SUMIFS(考核调整事项表!$E:$E,考核调整事项表!$G:$G,累计考核费用!$B97,考核调整事项表!$F:$F,累计考核费用!V$55)</f>
        <v>0</v>
      </c>
      <c r="W97" s="302">
        <f>SUMIFS(考核调整事项表!$C:$C,考核调整事项表!$G:$G,累计考核费用!$B97,考核调整事项表!$D:$D,累计考核费用!W$55)+SUMIFS(考核调整事项表!$E:$E,考核调整事项表!$G:$G,累计考核费用!$B97,考核调整事项表!$F:$F,累计考核费用!W$55)</f>
        <v>0</v>
      </c>
      <c r="X97" s="302">
        <f>SUMIFS(考核调整事项表!$C:$C,考核调整事项表!$G:$G,累计考核费用!$B97,考核调整事项表!$D:$D,累计考核费用!X$55)+SUMIFS(考核调整事项表!$E:$E,考核调整事项表!$G:$G,累计考核费用!$B97,考核调整事项表!$F:$F,累计考核费用!X$55)</f>
        <v>0</v>
      </c>
      <c r="Y97" s="302">
        <f>SUMIFS(考核调整事项表!$C:$C,考核调整事项表!$G:$G,累计考核费用!$B97,考核调整事项表!$D:$D,累计考核费用!Y$55)+SUMIFS(考核调整事项表!$E:$E,考核调整事项表!$G:$G,累计考核费用!$B97,考核调整事项表!$F:$F,累计考核费用!Y$55)</f>
        <v>0</v>
      </c>
      <c r="Z97" s="302">
        <f>SUMIFS(考核调整事项表!$C:$C,考核调整事项表!$G:$G,累计考核费用!$B97,考核调整事项表!$D:$D,累计考核费用!Z$55)+SUMIFS(考核调整事项表!$E:$E,考核调整事项表!$G:$G,累计考核费用!$B97,考核调整事项表!$F:$F,累计考核费用!Z$55)</f>
        <v>0</v>
      </c>
      <c r="AA97" s="302">
        <f>SUMIFS(考核调整事项表!$C:$C,考核调整事项表!$G:$G,累计考核费用!$B97,考核调整事项表!$D:$D,累计考核费用!AA$55)+SUMIFS(考核调整事项表!$E:$E,考核调整事项表!$G:$G,累计考核费用!$B97,考核调整事项表!$F:$F,累计考核费用!AA$55)</f>
        <v>0</v>
      </c>
      <c r="AB97" s="302">
        <f>SUMIFS(考核调整事项表!$C:$C,考核调整事项表!$G:$G,累计考核费用!$B97,考核调整事项表!$D:$D,累计考核费用!AB$55)+SUMIFS(考核调整事项表!$E:$E,考核调整事项表!$G:$G,累计考核费用!$B97,考核调整事项表!$F:$F,累计考核费用!AB$55)</f>
        <v>0</v>
      </c>
      <c r="AC97" s="302">
        <f>SUMIFS(考核调整事项表!$C:$C,考核调整事项表!$G:$G,累计考核费用!$B97,考核调整事项表!$D:$D,累计考核费用!AC$55)+SUMIFS(考核调整事项表!$E:$E,考核调整事项表!$G:$G,累计考核费用!$B97,考核调整事项表!$F:$F,累计考核费用!AC$55)</f>
        <v>0</v>
      </c>
    </row>
    <row r="98" spans="1:29">
      <c r="A98" s="19"/>
      <c r="B98" s="57" t="s">
        <v>135</v>
      </c>
      <c r="C98" s="11">
        <f t="shared" si="7"/>
        <v>-1.16415321826935e-10</v>
      </c>
      <c r="D98" s="302">
        <f>SUMIFS(考核调整事项表!$C:$C,考核调整事项表!$G:$G,累计考核费用!$B98,考核调整事项表!$D:$D,累计考核费用!D$55)+SUMIFS(考核调整事项表!$E:$E,考核调整事项表!$G:$G,累计考核费用!$B98,考核调整事项表!$F:$F,累计考核费用!D$55)</f>
        <v>274503.2</v>
      </c>
      <c r="E98" s="302">
        <f>SUMIFS(考核调整事项表!$C:$C,考核调整事项表!$G:$G,累计考核费用!$B98,考核调整事项表!$D:$D,累计考核费用!E$55)+SUMIFS(考核调整事项表!$E:$E,考核调整事项表!$G:$G,累计考核费用!$B98,考核调整事项表!$F:$F,累计考核费用!E$55)+H98+S98+AB98+AC98</f>
        <v>-1209911.53</v>
      </c>
      <c r="F98" s="302">
        <f>SUMIFS(考核调整事项表!$C:$C,考核调整事项表!$G:$G,累计考核费用!$B98,考核调整事项表!$D:$D,累计考核费用!F$55)+SUMIFS(考核调整事项表!$E:$E,考核调整事项表!$G:$G,累计考核费用!$B98,考核调整事项表!$F:$F,累计考核费用!F$55)</f>
        <v>935408.33</v>
      </c>
      <c r="G98" s="302">
        <f t="shared" si="8"/>
        <v>0</v>
      </c>
      <c r="H98" s="302">
        <f>SUMIFS(考核调整事项表!$C:$C,考核调整事项表!$G:$G,累计考核费用!$B98,考核调整事项表!$D:$D,累计考核费用!H$55)+SUMIFS(考核调整事项表!$E:$E,考核调整事项表!$G:$G,累计考核费用!$B98,考核调整事项表!$F:$F,累计考核费用!H$55)</f>
        <v>0</v>
      </c>
      <c r="I98" s="302">
        <f>SUMIFS(考核调整事项表!$C:$C,考核调整事项表!$G:$G,累计考核费用!$B98,考核调整事项表!$D:$D,累计考核费用!I$55)+SUMIFS(考核调整事项表!$E:$E,考核调整事项表!$G:$G,累计考核费用!$B98,考核调整事项表!$F:$F,累计考核费用!I$55)</f>
        <v>0</v>
      </c>
      <c r="J98" s="302">
        <f>SUMIFS(考核调整事项表!$C:$C,考核调整事项表!$G:$G,累计考核费用!$B98,考核调整事项表!$D:$D,累计考核费用!J$55)+SUMIFS(考核调整事项表!$E:$E,考核调整事项表!$G:$G,累计考核费用!$B98,考核调整事项表!$F:$F,累计考核费用!J$55)</f>
        <v>0</v>
      </c>
      <c r="K98" s="302">
        <f>SUMIFS(考核调整事项表!$C:$C,考核调整事项表!$G:$G,累计考核费用!$B98,考核调整事项表!$D:$D,累计考核费用!K$55)+SUMIFS(考核调整事项表!$E:$E,考核调整事项表!$G:$G,累计考核费用!$B98,考核调整事项表!$F:$F,累计考核费用!K$55)</f>
        <v>0</v>
      </c>
      <c r="L98" s="302">
        <f t="shared" si="9"/>
        <v>0</v>
      </c>
      <c r="M98" s="302">
        <f>SUMIFS(考核调整事项表!$C:$C,考核调整事项表!$G:$G,累计考核费用!$B98,考核调整事项表!$D:$D,累计考核费用!M$55)+SUMIFS(考核调整事项表!$E:$E,考核调整事项表!$G:$G,累计考核费用!$B98,考核调整事项表!$F:$F,累计考核费用!M$55)</f>
        <v>0</v>
      </c>
      <c r="N98" s="302">
        <f>SUMIFS(考核调整事项表!$C:$C,考核调整事项表!$G:$G,累计考核费用!$B98,考核调整事项表!$D:$D,累计考核费用!N$55)+SUMIFS(考核调整事项表!$E:$E,考核调整事项表!$G:$G,累计考核费用!$B98,考核调整事项表!$F:$F,累计考核费用!N$55)</f>
        <v>0</v>
      </c>
      <c r="O98" s="302">
        <f>SUMIFS(考核调整事项表!$C:$C,考核调整事项表!$G:$G,累计考核费用!$B98,考核调整事项表!$D:$D,累计考核费用!O$55)+SUMIFS(考核调整事项表!$E:$E,考核调整事项表!$G:$G,累计考核费用!$B98,考核调整事项表!$F:$F,累计考核费用!O$55)</f>
        <v>0</v>
      </c>
      <c r="P98" s="302">
        <f>SUMIFS(考核调整事项表!$C:$C,考核调整事项表!$G:$G,累计考核费用!$B98,考核调整事项表!$D:$D,累计考核费用!P$55)+SUMIFS(考核调整事项表!$E:$E,考核调整事项表!$G:$G,累计考核费用!$B98,考核调整事项表!$F:$F,累计考核费用!P$55)</f>
        <v>0</v>
      </c>
      <c r="Q98" s="302">
        <f>SUMIFS(考核调整事项表!$C:$C,考核调整事项表!$G:$G,累计考核费用!$B98,考核调整事项表!$D:$D,累计考核费用!Q$55)+SUMIFS(考核调整事项表!$E:$E,考核调整事项表!$G:$G,累计考核费用!$B98,考核调整事项表!$F:$F,累计考核费用!Q$55)</f>
        <v>0</v>
      </c>
      <c r="R98" s="302">
        <f>SUMIFS(考核调整事项表!$C:$C,考核调整事项表!$G:$G,累计考核费用!$B98,考核调整事项表!$D:$D,累计考核费用!R$55)+SUMIFS(考核调整事项表!$E:$E,考核调整事项表!$G:$G,累计考核费用!$B98,考核调整事项表!$F:$F,累计考核费用!R$55)</f>
        <v>0</v>
      </c>
      <c r="S98" s="302">
        <f>SUMIFS(考核调整事项表!$C:$C,考核调整事项表!$G:$G,累计考核费用!$B98,考核调整事项表!$D:$D,累计考核费用!S$55)+SUMIFS(考核调整事项表!$E:$E,考核调整事项表!$G:$G,累计考核费用!$B98,考核调整事项表!$F:$F,累计考核费用!S$55)</f>
        <v>-1209911.53</v>
      </c>
      <c r="T98" s="305">
        <f t="shared" si="15"/>
        <v>0</v>
      </c>
      <c r="U98" s="302">
        <f>SUMIFS(考核调整事项表!$C:$C,考核调整事项表!$G:$G,累计考核费用!$B98,考核调整事项表!$D:$D,累计考核费用!U$55)+SUMIFS(考核调整事项表!$E:$E,考核调整事项表!$G:$G,累计考核费用!$B98,考核调整事项表!$F:$F,累计考核费用!U$55)</f>
        <v>0</v>
      </c>
      <c r="V98" s="302">
        <f>SUMIFS(考核调整事项表!$C:$C,考核调整事项表!$G:$G,累计考核费用!$B98,考核调整事项表!$D:$D,累计考核费用!V$55)+SUMIFS(考核调整事项表!$E:$E,考核调整事项表!$G:$G,累计考核费用!$B98,考核调整事项表!$F:$F,累计考核费用!V$55)</f>
        <v>0</v>
      </c>
      <c r="W98" s="302">
        <f>SUMIFS(考核调整事项表!$C:$C,考核调整事项表!$G:$G,累计考核费用!$B98,考核调整事项表!$D:$D,累计考核费用!W$55)+SUMIFS(考核调整事项表!$E:$E,考核调整事项表!$G:$G,累计考核费用!$B98,考核调整事项表!$F:$F,累计考核费用!W$55)</f>
        <v>0</v>
      </c>
      <c r="X98" s="302">
        <f>SUMIFS(考核调整事项表!$C:$C,考核调整事项表!$G:$G,累计考核费用!$B98,考核调整事项表!$D:$D,累计考核费用!X$55)+SUMIFS(考核调整事项表!$E:$E,考核调整事项表!$G:$G,累计考核费用!$B98,考核调整事项表!$F:$F,累计考核费用!X$55)</f>
        <v>0</v>
      </c>
      <c r="Y98" s="302">
        <f>SUMIFS(考核调整事项表!$C:$C,考核调整事项表!$G:$G,累计考核费用!$B98,考核调整事项表!$D:$D,累计考核费用!Y$55)+SUMIFS(考核调整事项表!$E:$E,考核调整事项表!$G:$G,累计考核费用!$B98,考核调整事项表!$F:$F,累计考核费用!Y$55)</f>
        <v>0</v>
      </c>
      <c r="Z98" s="302">
        <f>SUMIFS(考核调整事项表!$C:$C,考核调整事项表!$G:$G,累计考核费用!$B98,考核调整事项表!$D:$D,累计考核费用!Z$55)+SUMIFS(考核调整事项表!$E:$E,考核调整事项表!$G:$G,累计考核费用!$B98,考核调整事项表!$F:$F,累计考核费用!Z$55)</f>
        <v>0</v>
      </c>
      <c r="AA98" s="302">
        <f>SUMIFS(考核调整事项表!$C:$C,考核调整事项表!$G:$G,累计考核费用!$B98,考核调整事项表!$D:$D,累计考核费用!AA$55)+SUMIFS(考核调整事项表!$E:$E,考核调整事项表!$G:$G,累计考核费用!$B98,考核调整事项表!$F:$F,累计考核费用!AA$55)</f>
        <v>0</v>
      </c>
      <c r="AB98" s="302">
        <f>SUMIFS(考核调整事项表!$C:$C,考核调整事项表!$G:$G,累计考核费用!$B98,考核调整事项表!$D:$D,累计考核费用!AB$55)+SUMIFS(考核调整事项表!$E:$E,考核调整事项表!$G:$G,累计考核费用!$B98,考核调整事项表!$F:$F,累计考核费用!AB$55)</f>
        <v>0</v>
      </c>
      <c r="AC98" s="302">
        <f>SUMIFS(考核调整事项表!$C:$C,考核调整事项表!$G:$G,累计考核费用!$B98,考核调整事项表!$D:$D,累计考核费用!AC$55)+SUMIFS(考核调整事项表!$E:$E,考核调整事项表!$G:$G,累计考核费用!$B98,考核调整事项表!$F:$F,累计考核费用!AC$55)</f>
        <v>0</v>
      </c>
    </row>
    <row r="99" spans="1:29">
      <c r="A99" s="19"/>
      <c r="B99" s="57" t="s">
        <v>136</v>
      </c>
      <c r="C99" s="11">
        <f t="shared" si="7"/>
        <v>0</v>
      </c>
      <c r="D99" s="302">
        <f>SUMIFS(考核调整事项表!$C:$C,考核调整事项表!$G:$G,累计考核费用!$B99,考核调整事项表!$D:$D,累计考核费用!D$55)+SUMIFS(考核调整事项表!$E:$E,考核调整事项表!$G:$G,累计考核费用!$B99,考核调整事项表!$F:$F,累计考核费用!D$55)</f>
        <v>-9832594.48</v>
      </c>
      <c r="E99" s="302">
        <f>SUMIFS(考核调整事项表!$C:$C,考核调整事项表!$G:$G,累计考核费用!$B99,考核调整事项表!$D:$D,累计考核费用!E$55)+SUMIFS(考核调整事项表!$E:$E,考核调整事项表!$G:$G,累计考核费用!$B99,考核调整事项表!$F:$F,累计考核费用!E$55)+H99+S99+AB99+AC99</f>
        <v>-25615.4</v>
      </c>
      <c r="F99" s="302">
        <f>SUMIFS(考核调整事项表!$C:$C,考核调整事项表!$G:$G,累计考核费用!$B99,考核调整事项表!$D:$D,累计考核费用!F$55)+SUMIFS(考核调整事项表!$E:$E,考核调整事项表!$G:$G,累计考核费用!$B99,考核调整事项表!$F:$F,累计考核费用!F$55)</f>
        <v>9858209.88</v>
      </c>
      <c r="G99" s="302">
        <f t="shared" si="8"/>
        <v>0</v>
      </c>
      <c r="H99" s="302">
        <f>SUMIFS(考核调整事项表!$C:$C,考核调整事项表!$G:$G,累计考核费用!$B99,考核调整事项表!$D:$D,累计考核费用!H$55)+SUMIFS(考核调整事项表!$E:$E,考核调整事项表!$G:$G,累计考核费用!$B99,考核调整事项表!$F:$F,累计考核费用!H$55)</f>
        <v>0</v>
      </c>
      <c r="I99" s="302">
        <f>SUMIFS(考核调整事项表!$C:$C,考核调整事项表!$G:$G,累计考核费用!$B99,考核调整事项表!$D:$D,累计考核费用!I$55)+SUMIFS(考核调整事项表!$E:$E,考核调整事项表!$G:$G,累计考核费用!$B99,考核调整事项表!$F:$F,累计考核费用!I$55)</f>
        <v>0</v>
      </c>
      <c r="J99" s="302">
        <f>SUMIFS(考核调整事项表!$C:$C,考核调整事项表!$G:$G,累计考核费用!$B99,考核调整事项表!$D:$D,累计考核费用!J$55)+SUMIFS(考核调整事项表!$E:$E,考核调整事项表!$G:$G,累计考核费用!$B99,考核调整事项表!$F:$F,累计考核费用!J$55)</f>
        <v>0</v>
      </c>
      <c r="K99" s="302">
        <f>SUMIFS(考核调整事项表!$C:$C,考核调整事项表!$G:$G,累计考核费用!$B99,考核调整事项表!$D:$D,累计考核费用!K$55)+SUMIFS(考核调整事项表!$E:$E,考核调整事项表!$G:$G,累计考核费用!$B99,考核调整事项表!$F:$F,累计考核费用!K$55)</f>
        <v>0</v>
      </c>
      <c r="L99" s="302">
        <f t="shared" si="9"/>
        <v>0</v>
      </c>
      <c r="M99" s="302">
        <f>SUMIFS(考核调整事项表!$C:$C,考核调整事项表!$G:$G,累计考核费用!$B99,考核调整事项表!$D:$D,累计考核费用!M$55)+SUMIFS(考核调整事项表!$E:$E,考核调整事项表!$G:$G,累计考核费用!$B99,考核调整事项表!$F:$F,累计考核费用!M$55)</f>
        <v>0</v>
      </c>
      <c r="N99" s="302">
        <f>SUMIFS(考核调整事项表!$C:$C,考核调整事项表!$G:$G,累计考核费用!$B99,考核调整事项表!$D:$D,累计考核费用!N$55)+SUMIFS(考核调整事项表!$E:$E,考核调整事项表!$G:$G,累计考核费用!$B99,考核调整事项表!$F:$F,累计考核费用!N$55)</f>
        <v>0</v>
      </c>
      <c r="O99" s="302">
        <f>SUMIFS(考核调整事项表!$C:$C,考核调整事项表!$G:$G,累计考核费用!$B99,考核调整事项表!$D:$D,累计考核费用!O$55)+SUMIFS(考核调整事项表!$E:$E,考核调整事项表!$G:$G,累计考核费用!$B99,考核调整事项表!$F:$F,累计考核费用!O$55)</f>
        <v>0</v>
      </c>
      <c r="P99" s="302">
        <f>SUMIFS(考核调整事项表!$C:$C,考核调整事项表!$G:$G,累计考核费用!$B99,考核调整事项表!$D:$D,累计考核费用!P$55)+SUMIFS(考核调整事项表!$E:$E,考核调整事项表!$G:$G,累计考核费用!$B99,考核调整事项表!$F:$F,累计考核费用!P$55)</f>
        <v>0</v>
      </c>
      <c r="Q99" s="302">
        <f>SUMIFS(考核调整事项表!$C:$C,考核调整事项表!$G:$G,累计考核费用!$B99,考核调整事项表!$D:$D,累计考核费用!Q$55)+SUMIFS(考核调整事项表!$E:$E,考核调整事项表!$G:$G,累计考核费用!$B99,考核调整事项表!$F:$F,累计考核费用!Q$55)</f>
        <v>0</v>
      </c>
      <c r="R99" s="302">
        <f>SUMIFS(考核调整事项表!$C:$C,考核调整事项表!$G:$G,累计考核费用!$B99,考核调整事项表!$D:$D,累计考核费用!R$55)+SUMIFS(考核调整事项表!$E:$E,考核调整事项表!$G:$G,累计考核费用!$B99,考核调整事项表!$F:$F,累计考核费用!R$55)</f>
        <v>0</v>
      </c>
      <c r="S99" s="302">
        <f>SUMIFS(考核调整事项表!$C:$C,考核调整事项表!$G:$G,累计考核费用!$B99,考核调整事项表!$D:$D,累计考核费用!S$55)+SUMIFS(考核调整事项表!$E:$E,考核调整事项表!$G:$G,累计考核费用!$B99,考核调整事项表!$F:$F,累计考核费用!S$55)</f>
        <v>0</v>
      </c>
      <c r="T99" s="305">
        <f t="shared" si="15"/>
        <v>0</v>
      </c>
      <c r="U99" s="302">
        <f>SUMIFS(考核调整事项表!$C:$C,考核调整事项表!$G:$G,累计考核费用!$B99,考核调整事项表!$D:$D,累计考核费用!U$55)+SUMIFS(考核调整事项表!$E:$E,考核调整事项表!$G:$G,累计考核费用!$B99,考核调整事项表!$F:$F,累计考核费用!U$55)</f>
        <v>0</v>
      </c>
      <c r="V99" s="302">
        <f>SUMIFS(考核调整事项表!$C:$C,考核调整事项表!$G:$G,累计考核费用!$B99,考核调整事项表!$D:$D,累计考核费用!V$55)+SUMIFS(考核调整事项表!$E:$E,考核调整事项表!$G:$G,累计考核费用!$B99,考核调整事项表!$F:$F,累计考核费用!V$55)</f>
        <v>0</v>
      </c>
      <c r="W99" s="302">
        <f>SUMIFS(考核调整事项表!$C:$C,考核调整事项表!$G:$G,累计考核费用!$B99,考核调整事项表!$D:$D,累计考核费用!W$55)+SUMIFS(考核调整事项表!$E:$E,考核调整事项表!$G:$G,累计考核费用!$B99,考核调整事项表!$F:$F,累计考核费用!W$55)</f>
        <v>0</v>
      </c>
      <c r="X99" s="302">
        <f>SUMIFS(考核调整事项表!$C:$C,考核调整事项表!$G:$G,累计考核费用!$B99,考核调整事项表!$D:$D,累计考核费用!X$55)+SUMIFS(考核调整事项表!$E:$E,考核调整事项表!$G:$G,累计考核费用!$B99,考核调整事项表!$F:$F,累计考核费用!X$55)</f>
        <v>0</v>
      </c>
      <c r="Y99" s="302">
        <f>SUMIFS(考核调整事项表!$C:$C,考核调整事项表!$G:$G,累计考核费用!$B99,考核调整事项表!$D:$D,累计考核费用!Y$55)+SUMIFS(考核调整事项表!$E:$E,考核调整事项表!$G:$G,累计考核费用!$B99,考核调整事项表!$F:$F,累计考核费用!Y$55)</f>
        <v>0</v>
      </c>
      <c r="Z99" s="302">
        <f>SUMIFS(考核调整事项表!$C:$C,考核调整事项表!$G:$G,累计考核费用!$B99,考核调整事项表!$D:$D,累计考核费用!Z$55)+SUMIFS(考核调整事项表!$E:$E,考核调整事项表!$G:$G,累计考核费用!$B99,考核调整事项表!$F:$F,累计考核费用!Z$55)</f>
        <v>0</v>
      </c>
      <c r="AA99" s="302">
        <f>SUMIFS(考核调整事项表!$C:$C,考核调整事项表!$G:$G,累计考核费用!$B99,考核调整事项表!$D:$D,累计考核费用!AA$55)+SUMIFS(考核调整事项表!$E:$E,考核调整事项表!$G:$G,累计考核费用!$B99,考核调整事项表!$F:$F,累计考核费用!AA$55)</f>
        <v>0</v>
      </c>
      <c r="AB99" s="302">
        <f>SUMIFS(考核调整事项表!$C:$C,考核调整事项表!$G:$G,累计考核费用!$B99,考核调整事项表!$D:$D,累计考核费用!AB$55)+SUMIFS(考核调整事项表!$E:$E,考核调整事项表!$G:$G,累计考核费用!$B99,考核调整事项表!$F:$F,累计考核费用!AB$55)</f>
        <v>0</v>
      </c>
      <c r="AC99" s="302">
        <f>SUMIFS(考核调整事项表!$C:$C,考核调整事项表!$G:$G,累计考核费用!$B99,考核调整事项表!$D:$D,累计考核费用!AC$55)+SUMIFS(考核调整事项表!$E:$E,考核调整事项表!$G:$G,累计考核费用!$B99,考核调整事项表!$F:$F,累计考核费用!AC$55)</f>
        <v>0</v>
      </c>
    </row>
    <row r="100" spans="1:29">
      <c r="A100" s="19"/>
      <c r="B100" s="57" t="s">
        <v>137</v>
      </c>
      <c r="C100" s="11">
        <f t="shared" si="7"/>
        <v>0</v>
      </c>
      <c r="D100" s="302">
        <f>SUMIFS(考核调整事项表!$C:$C,考核调整事项表!$G:$G,累计考核费用!$B100,考核调整事项表!$D:$D,累计考核费用!D$55)+SUMIFS(考核调整事项表!$E:$E,考核调整事项表!$G:$G,累计考核费用!$B100,考核调整事项表!$F:$F,累计考核费用!D$55)</f>
        <v>0</v>
      </c>
      <c r="E100" s="302">
        <f>SUMIFS(考核调整事项表!$C:$C,考核调整事项表!$G:$G,累计考核费用!$B100,考核调整事项表!$D:$D,累计考核费用!E$55)+SUMIFS(考核调整事项表!$E:$E,考核调整事项表!$G:$G,累计考核费用!$B100,考核调整事项表!$F:$F,累计考核费用!E$55)+H100+S100+AB100+AC100</f>
        <v>-4372535.90671862</v>
      </c>
      <c r="F100" s="302">
        <f>SUMIFS(考核调整事项表!$C:$C,考核调整事项表!$G:$G,累计考核费用!$B100,考核调整事项表!$D:$D,累计考核费用!F$55)+SUMIFS(考核调整事项表!$E:$E,考核调整事项表!$G:$G,累计考核费用!$B100,考核调整事项表!$F:$F,累计考核费用!F$55)</f>
        <v>0</v>
      </c>
      <c r="G100" s="302">
        <f t="shared" si="8"/>
        <v>1186635</v>
      </c>
      <c r="H100" s="302">
        <f>SUMIFS(考核调整事项表!$C:$C,考核调整事项表!$G:$G,累计考核费用!$B100,考核调整事项表!$D:$D,累计考核费用!H$55)+SUMIFS(考核调整事项表!$E:$E,考核调整事项表!$G:$G,累计考核费用!$B100,考核调整事项表!$F:$F,累计考核费用!H$55)</f>
        <v>0</v>
      </c>
      <c r="I100" s="302">
        <f>SUMIFS(考核调整事项表!$C:$C,考核调整事项表!$G:$G,累计考核费用!$B100,考核调整事项表!$D:$D,累计考核费用!I$55)+SUMIFS(考核调整事项表!$E:$E,考核调整事项表!$G:$G,累计考核费用!$B100,考核调整事项表!$F:$F,累计考核费用!I$55)</f>
        <v>421575</v>
      </c>
      <c r="J100" s="302">
        <f>SUMIFS(考核调整事项表!$C:$C,考核调整事项表!$G:$G,累计考核费用!$B100,考核调整事项表!$D:$D,累计考核费用!J$55)+SUMIFS(考核调整事项表!$E:$E,考核调整事项表!$G:$G,累计考核费用!$B100,考核调整事项表!$F:$F,累计考核费用!J$55)</f>
        <v>361951</v>
      </c>
      <c r="K100" s="302">
        <f>SUMIFS(考核调整事项表!$C:$C,考核调整事项表!$G:$G,累计考核费用!$B100,考核调整事项表!$D:$D,累计考核费用!K$55)+SUMIFS(考核调整事项表!$E:$E,考核调整事项表!$G:$G,累计考核费用!$B100,考核调整事项表!$F:$F,累计考核费用!K$55)</f>
        <v>403109</v>
      </c>
      <c r="L100" s="302">
        <f t="shared" si="9"/>
        <v>1108188.25671756</v>
      </c>
      <c r="M100" s="302">
        <f>SUMIFS(考核调整事项表!$C:$C,考核调整事项表!$G:$G,累计考核费用!$B100,考核调整事项表!$D:$D,累计考核费用!M$55)+SUMIFS(考核调整事项表!$E:$E,考核调整事项表!$G:$G,累计考核费用!$B100,考核调整事项表!$F:$F,累计考核费用!M$55)</f>
        <v>368844.022871573</v>
      </c>
      <c r="N100" s="302">
        <f>SUMIFS(考核调整事项表!$C:$C,考核调整事项表!$G:$G,累计考核费用!$B100,考核调整事项表!$D:$D,累计考核费用!N$55)+SUMIFS(考核调整事项表!$E:$E,考核调整事项表!$G:$G,累计考核费用!$B100,考核调整事项表!$F:$F,累计考核费用!N$55)</f>
        <v>383046.865187976</v>
      </c>
      <c r="O100" s="302">
        <f>SUMIFS(考核调整事项表!$C:$C,考核调整事项表!$G:$G,累计考核费用!$B100,考核调整事项表!$D:$D,累计考核费用!O$55)+SUMIFS(考核调整事项表!$E:$E,考核调整事项表!$G:$G,累计考核费用!$B100,考核调整事项表!$F:$F,累计考核费用!O$55)</f>
        <v>356297.368658009</v>
      </c>
      <c r="P100" s="302">
        <f>SUMIFS(考核调整事项表!$C:$C,考核调整事项表!$G:$G,累计考核费用!$B100,考核调整事项表!$D:$D,累计考核费用!P$55)+SUMIFS(考核调整事项表!$E:$E,考核调整事项表!$G:$G,累计考核费用!$B100,考核调整事项表!$F:$F,累计考核费用!P$55)</f>
        <v>0</v>
      </c>
      <c r="Q100" s="302">
        <f>SUMIFS(考核调整事项表!$C:$C,考核调整事项表!$G:$G,累计考核费用!$B100,考核调整事项表!$D:$D,累计考核费用!Q$55)+SUMIFS(考核调整事项表!$E:$E,考核调整事项表!$G:$G,累计考核费用!$B100,考核调整事项表!$F:$F,累计考核费用!Q$55)</f>
        <v>0</v>
      </c>
      <c r="R100" s="302">
        <f>SUMIFS(考核调整事项表!$C:$C,考核调整事项表!$G:$G,累计考核费用!$B100,考核调整事项表!$D:$D,累计考核费用!R$55)+SUMIFS(考核调整事项表!$E:$E,考核调整事项表!$G:$G,累计考核费用!$B100,考核调整事项表!$F:$F,累计考核费用!R$55)</f>
        <v>0</v>
      </c>
      <c r="S100" s="302">
        <f>SUMIFS(考核调整事项表!$C:$C,考核调整事项表!$G:$G,累计考核费用!$B100,考核调整事项表!$D:$D,累计考核费用!S$55)+SUMIFS(考核调整事项表!$E:$E,考核调整事项表!$G:$G,累计考核费用!$B100,考核调整事项表!$F:$F,累计考核费用!S$55)</f>
        <v>0</v>
      </c>
      <c r="T100" s="305">
        <f t="shared" si="15"/>
        <v>2077712.65000106</v>
      </c>
      <c r="U100" s="302">
        <f>SUMIFS(考核调整事项表!$C:$C,考核调整事项表!$G:$G,累计考核费用!$B100,考核调整事项表!$D:$D,累计考核费用!U$55)+SUMIFS(考核调整事项表!$E:$E,考核调整事项表!$G:$G,累计考核费用!$B100,考核调整事项表!$F:$F,累计考核费用!U$55)</f>
        <v>495382.995587211</v>
      </c>
      <c r="V100" s="302">
        <f>SUMIFS(考核调整事项表!$C:$C,考核调整事项表!$G:$G,累计考核费用!$B100,考核调整事项表!$D:$D,累计考核费用!V$55)+SUMIFS(考核调整事项表!$E:$E,考核调整事项表!$G:$G,累计考核费用!$B100,考核调整事项表!$F:$F,累计考核费用!V$55)</f>
        <v>588261.377362426</v>
      </c>
      <c r="W100" s="302">
        <f>SUMIFS(考核调整事项表!$C:$C,考核调整事项表!$G:$G,累计考核费用!$B100,考核调整事项表!$D:$D,累计考核费用!W$55)+SUMIFS(考核调整事项表!$E:$E,考核调整事项表!$G:$G,累计考核费用!$B100,考核调整事项表!$F:$F,累计考核费用!W$55)</f>
        <v>361734.568944537</v>
      </c>
      <c r="X100" s="302">
        <f>SUMIFS(考核调整事项表!$C:$C,考核调整事项表!$G:$G,累计考核费用!$B100,考核调整事项表!$D:$D,累计考核费用!X$55)+SUMIFS(考核调整事项表!$E:$E,考核调整事项表!$G:$G,累计考核费用!$B100,考核调整事项表!$F:$F,累计考核费用!X$55)</f>
        <v>121848.708106887</v>
      </c>
      <c r="Y100" s="302">
        <f>SUMIFS(考核调整事项表!$C:$C,考核调整事项表!$G:$G,累计考核费用!$B100,考核调整事项表!$D:$D,累计考核费用!Y$55)+SUMIFS(考核调整事项表!$E:$E,考核调整事项表!$G:$G,累计考核费用!$B100,考核调整事项表!$F:$F,累计考核费用!Y$55)</f>
        <v>460174</v>
      </c>
      <c r="Z100" s="302">
        <f>SUMIFS(考核调整事项表!$C:$C,考核调整事项表!$G:$G,累计考核费用!$B100,考核调整事项表!$D:$D,累计考核费用!Z$55)+SUMIFS(考核调整事项表!$E:$E,考核调整事项表!$G:$G,累计考核费用!$B100,考核调整事项表!$F:$F,累计考核费用!Z$55)</f>
        <v>50311</v>
      </c>
      <c r="AA100" s="302">
        <f>SUMIFS(考核调整事项表!$C:$C,考核调整事项表!$G:$G,累计考核费用!$B100,考核调整事项表!$D:$D,累计考核费用!AA$55)+SUMIFS(考核调整事项表!$E:$E,考核调整事项表!$G:$G,累计考核费用!$B100,考核调整事项表!$F:$F,累计考核费用!AA$55)</f>
        <v>0</v>
      </c>
      <c r="AB100" s="302">
        <f>SUMIFS(考核调整事项表!$C:$C,考核调整事项表!$G:$G,累计考核费用!$B100,考核调整事项表!$D:$D,累计考核费用!AB$55)+SUMIFS(考核调整事项表!$E:$E,考核调整事项表!$G:$G,累计考核费用!$B100,考核调整事项表!$F:$F,累计考核费用!AB$55)</f>
        <v>0</v>
      </c>
      <c r="AC100" s="302">
        <f>SUMIFS(考核调整事项表!$C:$C,考核调整事项表!$G:$G,累计考核费用!$B100,考核调整事项表!$D:$D,累计考核费用!AC$55)+SUMIFS(考核调整事项表!$E:$E,考核调整事项表!$G:$G,累计考核费用!$B100,考核调整事项表!$F:$F,累计考核费用!AC$55)</f>
        <v>0</v>
      </c>
    </row>
    <row r="101" spans="1:29">
      <c r="A101" s="19"/>
      <c r="B101" s="57" t="s">
        <v>138</v>
      </c>
      <c r="C101" s="11">
        <f t="shared" si="7"/>
        <v>0</v>
      </c>
      <c r="D101" s="302">
        <f>SUMIFS(考核调整事项表!$C:$C,考核调整事项表!$G:$G,累计考核费用!$B101,考核调整事项表!$D:$D,累计考核费用!D$55)+SUMIFS(考核调整事项表!$E:$E,考核调整事项表!$G:$G,累计考核费用!$B101,考核调整事项表!$F:$F,累计考核费用!D$55)</f>
        <v>-613649</v>
      </c>
      <c r="E101" s="302">
        <f>SUMIFS(考核调整事项表!$C:$C,考核调整事项表!$G:$G,累计考核费用!$B101,考核调整事项表!$D:$D,累计考核费用!E$55)+SUMIFS(考核调整事项表!$E:$E,考核调整事项表!$G:$G,累计考核费用!$B101,考核调整事项表!$F:$F,累计考核费用!E$55)+H101+S101+AB101+AC101</f>
        <v>-1046774.8519037</v>
      </c>
      <c r="F101" s="302">
        <f>SUMIFS(考核调整事项表!$C:$C,考核调整事项表!$G:$G,累计考核费用!$B101,考核调整事项表!$D:$D,累计考核费用!F$55)+SUMIFS(考核调整事项表!$E:$E,考核调整事项表!$G:$G,累计考核费用!$B101,考核调整事项表!$F:$F,累计考核费用!F$55)</f>
        <v>467157.76</v>
      </c>
      <c r="G101" s="302">
        <f t="shared" si="8"/>
        <v>0</v>
      </c>
      <c r="H101" s="302">
        <f>SUMIFS(考核调整事项表!$C:$C,考核调整事项表!$G:$G,累计考核费用!$B101,考核调整事项表!$D:$D,累计考核费用!H$55)+SUMIFS(考核调整事项表!$E:$E,考核调整事项表!$G:$G,累计考核费用!$B101,考核调整事项表!$F:$F,累计考核费用!H$55)</f>
        <v>0</v>
      </c>
      <c r="I101" s="302">
        <f>SUMIFS(考核调整事项表!$C:$C,考核调整事项表!$G:$G,累计考核费用!$B101,考核调整事项表!$D:$D,累计考核费用!I$55)+SUMIFS(考核调整事项表!$E:$E,考核调整事项表!$G:$G,累计考核费用!$B101,考核调整事项表!$F:$F,累计考核费用!I$55)</f>
        <v>0</v>
      </c>
      <c r="J101" s="302">
        <f>SUMIFS(考核调整事项表!$C:$C,考核调整事项表!$G:$G,累计考核费用!$B101,考核调整事项表!$D:$D,累计考核费用!J$55)+SUMIFS(考核调整事项表!$E:$E,考核调整事项表!$G:$G,累计考核费用!$B101,考核调整事项表!$F:$F,累计考核费用!J$55)</f>
        <v>0</v>
      </c>
      <c r="K101" s="302">
        <f>SUMIFS(考核调整事项表!$C:$C,考核调整事项表!$G:$G,累计考核费用!$B101,考核调整事项表!$D:$D,累计考核费用!K$55)+SUMIFS(考核调整事项表!$E:$E,考核调整事项表!$G:$G,累计考核费用!$B101,考核调整事项表!$F:$F,累计考核费用!K$55)</f>
        <v>0</v>
      </c>
      <c r="L101" s="302">
        <f t="shared" si="9"/>
        <v>1193266.0919037</v>
      </c>
      <c r="M101" s="302">
        <f>SUMIFS(考核调整事项表!$C:$C,考核调整事项表!$G:$G,累计考核费用!$B101,考核调整事项表!$D:$D,累计考核费用!M$55)+SUMIFS(考核调整事项表!$E:$E,考核调整事项表!$G:$G,累计考核费用!$B101,考核调整事项表!$F:$F,累计考核费用!M$55)</f>
        <v>0</v>
      </c>
      <c r="N101" s="302">
        <f>SUMIFS(考核调整事项表!$C:$C,考核调整事项表!$G:$G,累计考核费用!$B101,考核调整事项表!$D:$D,累计考核费用!N$55)+SUMIFS(考核调整事项表!$E:$E,考核调整事项表!$G:$G,累计考核费用!$B101,考核调整事项表!$F:$F,累计考核费用!N$55)</f>
        <v>0</v>
      </c>
      <c r="O101" s="302">
        <f>SUMIFS(考核调整事项表!$C:$C,考核调整事项表!$G:$G,累计考核费用!$B101,考核调整事项表!$D:$D,累计考核费用!O$55)+SUMIFS(考核调整事项表!$E:$E,考核调整事项表!$G:$G,累计考核费用!$B101,考核调整事项表!$F:$F,累计考核费用!O$55)</f>
        <v>0</v>
      </c>
      <c r="P101" s="302">
        <f>SUMIFS(考核调整事项表!$C:$C,考核调整事项表!$G:$G,累计考核费用!$B101,考核调整事项表!$D:$D,累计考核费用!P$55)+SUMIFS(考核调整事项表!$E:$E,考核调整事项表!$G:$G,累计考核费用!$B101,考核调整事项表!$F:$F,累计考核费用!P$55)</f>
        <v>438406.082886103</v>
      </c>
      <c r="Q101" s="302">
        <f>SUMIFS(考核调整事项表!$C:$C,考核调整事项表!$G:$G,累计考核费用!$B101,考核调整事项表!$D:$D,累计考核费用!Q$55)+SUMIFS(考核调整事项表!$E:$E,考核调整事项表!$G:$G,累计考核费用!$B101,考核调整事项表!$F:$F,累计考核费用!Q$55)</f>
        <v>384159.999729121</v>
      </c>
      <c r="R101" s="302">
        <f>SUMIFS(考核调整事项表!$C:$C,考核调整事项表!$G:$G,累计考核费用!$B101,考核调整事项表!$D:$D,累计考核费用!R$55)+SUMIFS(考核调整事项表!$E:$E,考核调整事项表!$G:$G,累计考核费用!$B101,考核调整事项表!$F:$F,累计考核费用!R$55)</f>
        <v>370700.009288478</v>
      </c>
      <c r="S101" s="302">
        <f>SUMIFS(考核调整事项表!$C:$C,考核调整事项表!$G:$G,累计考核费用!$B101,考核调整事项表!$D:$D,累计考核费用!S$55)+SUMIFS(考核调整事项表!$E:$E,考核调整事项表!$G:$G,累计考核费用!$B101,考核调整事项表!$F:$F,累计考核费用!S$55)</f>
        <v>0</v>
      </c>
      <c r="T101" s="305">
        <f t="shared" si="15"/>
        <v>0</v>
      </c>
      <c r="U101" s="302">
        <f>SUMIFS(考核调整事项表!$C:$C,考核调整事项表!$G:$G,累计考核费用!$B101,考核调整事项表!$D:$D,累计考核费用!U$55)+SUMIFS(考核调整事项表!$E:$E,考核调整事项表!$G:$G,累计考核费用!$B101,考核调整事项表!$F:$F,累计考核费用!U$55)</f>
        <v>0</v>
      </c>
      <c r="V101" s="302">
        <f>SUMIFS(考核调整事项表!$C:$C,考核调整事项表!$G:$G,累计考核费用!$B101,考核调整事项表!$D:$D,累计考核费用!V$55)+SUMIFS(考核调整事项表!$E:$E,考核调整事项表!$G:$G,累计考核费用!$B101,考核调整事项表!$F:$F,累计考核费用!V$55)</f>
        <v>0</v>
      </c>
      <c r="W101" s="302">
        <f>SUMIFS(考核调整事项表!$C:$C,考核调整事项表!$G:$G,累计考核费用!$B101,考核调整事项表!$D:$D,累计考核费用!W$55)+SUMIFS(考核调整事项表!$E:$E,考核调整事项表!$G:$G,累计考核费用!$B101,考核调整事项表!$F:$F,累计考核费用!W$55)</f>
        <v>0</v>
      </c>
      <c r="X101" s="302">
        <f>SUMIFS(考核调整事项表!$C:$C,考核调整事项表!$G:$G,累计考核费用!$B101,考核调整事项表!$D:$D,累计考核费用!X$55)+SUMIFS(考核调整事项表!$E:$E,考核调整事项表!$G:$G,累计考核费用!$B101,考核调整事项表!$F:$F,累计考核费用!X$55)</f>
        <v>0</v>
      </c>
      <c r="Y101" s="302">
        <f>SUMIFS(考核调整事项表!$C:$C,考核调整事项表!$G:$G,累计考核费用!$B101,考核调整事项表!$D:$D,累计考核费用!Y$55)+SUMIFS(考核调整事项表!$E:$E,考核调整事项表!$G:$G,累计考核费用!$B101,考核调整事项表!$F:$F,累计考核费用!Y$55)</f>
        <v>0</v>
      </c>
      <c r="Z101" s="302">
        <f>SUMIFS(考核调整事项表!$C:$C,考核调整事项表!$G:$G,累计考核费用!$B101,考核调整事项表!$D:$D,累计考核费用!Z$55)+SUMIFS(考核调整事项表!$E:$E,考核调整事项表!$G:$G,累计考核费用!$B101,考核调整事项表!$F:$F,累计考核费用!Z$55)</f>
        <v>0</v>
      </c>
      <c r="AA101" s="302">
        <f>SUMIFS(考核调整事项表!$C:$C,考核调整事项表!$G:$G,累计考核费用!$B101,考核调整事项表!$D:$D,累计考核费用!AA$55)+SUMIFS(考核调整事项表!$E:$E,考核调整事项表!$G:$G,累计考核费用!$B101,考核调整事项表!$F:$F,累计考核费用!AA$55)</f>
        <v>0</v>
      </c>
      <c r="AB101" s="302">
        <f>SUMIFS(考核调整事项表!$C:$C,考核调整事项表!$G:$G,累计考核费用!$B101,考核调整事项表!$D:$D,累计考核费用!AB$55)+SUMIFS(考核调整事项表!$E:$E,考核调整事项表!$G:$G,累计考核费用!$B101,考核调整事项表!$F:$F,累计考核费用!AB$55)</f>
        <v>0</v>
      </c>
      <c r="AC101" s="302">
        <f>SUMIFS(考核调整事项表!$C:$C,考核调整事项表!$G:$G,累计考核费用!$B101,考核调整事项表!$D:$D,累计考核费用!AC$55)+SUMIFS(考核调整事项表!$E:$E,考核调整事项表!$G:$G,累计考核费用!$B101,考核调整事项表!$F:$F,累计考核费用!AC$55)</f>
        <v>0</v>
      </c>
    </row>
    <row r="102" spans="1:29">
      <c r="A102" s="19"/>
      <c r="B102" s="57" t="s">
        <v>139</v>
      </c>
      <c r="C102" s="11">
        <f t="shared" si="7"/>
        <v>0</v>
      </c>
      <c r="D102" s="302">
        <f>SUMIFS(考核调整事项表!$C:$C,考核调整事项表!$G:$G,累计考核费用!$B102,考核调整事项表!$D:$D,累计考核费用!D$55)+SUMIFS(考核调整事项表!$E:$E,考核调整事项表!$G:$G,累计考核费用!$B102,考核调整事项表!$F:$F,累计考核费用!D$55)</f>
        <v>0</v>
      </c>
      <c r="E102" s="302">
        <f>SUMIFS(考核调整事项表!$C:$C,考核调整事项表!$G:$G,累计考核费用!$B102,考核调整事项表!$D:$D,累计考核费用!E$55)+SUMIFS(考核调整事项表!$E:$E,考核调整事项表!$G:$G,累计考核费用!$B102,考核调整事项表!$F:$F,累计考核费用!E$55)+H102+S102+AB102+AC102</f>
        <v>0</v>
      </c>
      <c r="F102" s="302">
        <f>SUMIFS(考核调整事项表!$C:$C,考核调整事项表!$G:$G,累计考核费用!$B102,考核调整事项表!$D:$D,累计考核费用!F$55)+SUMIFS(考核调整事项表!$E:$E,考核调整事项表!$G:$G,累计考核费用!$B102,考核调整事项表!$F:$F,累计考核费用!F$55)</f>
        <v>0</v>
      </c>
      <c r="G102" s="302">
        <f t="shared" si="8"/>
        <v>0</v>
      </c>
      <c r="H102" s="302">
        <f>SUMIFS(考核调整事项表!$C:$C,考核调整事项表!$G:$G,累计考核费用!$B102,考核调整事项表!$D:$D,累计考核费用!H$55)+SUMIFS(考核调整事项表!$E:$E,考核调整事项表!$G:$G,累计考核费用!$B102,考核调整事项表!$F:$F,累计考核费用!H$55)</f>
        <v>0</v>
      </c>
      <c r="I102" s="302">
        <f>SUMIFS(考核调整事项表!$C:$C,考核调整事项表!$G:$G,累计考核费用!$B102,考核调整事项表!$D:$D,累计考核费用!I$55)+SUMIFS(考核调整事项表!$E:$E,考核调整事项表!$G:$G,累计考核费用!$B102,考核调整事项表!$F:$F,累计考核费用!I$55)</f>
        <v>0</v>
      </c>
      <c r="J102" s="302">
        <f>SUMIFS(考核调整事项表!$C:$C,考核调整事项表!$G:$G,累计考核费用!$B102,考核调整事项表!$D:$D,累计考核费用!J$55)+SUMIFS(考核调整事项表!$E:$E,考核调整事项表!$G:$G,累计考核费用!$B102,考核调整事项表!$F:$F,累计考核费用!J$55)</f>
        <v>0</v>
      </c>
      <c r="K102" s="302">
        <f>SUMIFS(考核调整事项表!$C:$C,考核调整事项表!$G:$G,累计考核费用!$B102,考核调整事项表!$D:$D,累计考核费用!K$55)+SUMIFS(考核调整事项表!$E:$E,考核调整事项表!$G:$G,累计考核费用!$B102,考核调整事项表!$F:$F,累计考核费用!K$55)</f>
        <v>0</v>
      </c>
      <c r="L102" s="302">
        <f t="shared" si="9"/>
        <v>0</v>
      </c>
      <c r="M102" s="302">
        <f>SUMIFS(考核调整事项表!$C:$C,考核调整事项表!$G:$G,累计考核费用!$B102,考核调整事项表!$D:$D,累计考核费用!M$55)+SUMIFS(考核调整事项表!$E:$E,考核调整事项表!$G:$G,累计考核费用!$B102,考核调整事项表!$F:$F,累计考核费用!M$55)</f>
        <v>0</v>
      </c>
      <c r="N102" s="302">
        <f>SUMIFS(考核调整事项表!$C:$C,考核调整事项表!$G:$G,累计考核费用!$B102,考核调整事项表!$D:$D,累计考核费用!N$55)+SUMIFS(考核调整事项表!$E:$E,考核调整事项表!$G:$G,累计考核费用!$B102,考核调整事项表!$F:$F,累计考核费用!N$55)</f>
        <v>0</v>
      </c>
      <c r="O102" s="302">
        <f>SUMIFS(考核调整事项表!$C:$C,考核调整事项表!$G:$G,累计考核费用!$B102,考核调整事项表!$D:$D,累计考核费用!O$55)+SUMIFS(考核调整事项表!$E:$E,考核调整事项表!$G:$G,累计考核费用!$B102,考核调整事项表!$F:$F,累计考核费用!O$55)</f>
        <v>0</v>
      </c>
      <c r="P102" s="302">
        <f>SUMIFS(考核调整事项表!$C:$C,考核调整事项表!$G:$G,累计考核费用!$B102,考核调整事项表!$D:$D,累计考核费用!P$55)+SUMIFS(考核调整事项表!$E:$E,考核调整事项表!$G:$G,累计考核费用!$B102,考核调整事项表!$F:$F,累计考核费用!P$55)</f>
        <v>0</v>
      </c>
      <c r="Q102" s="302">
        <f>SUMIFS(考核调整事项表!$C:$C,考核调整事项表!$G:$G,累计考核费用!$B102,考核调整事项表!$D:$D,累计考核费用!Q$55)+SUMIFS(考核调整事项表!$E:$E,考核调整事项表!$G:$G,累计考核费用!$B102,考核调整事项表!$F:$F,累计考核费用!Q$55)</f>
        <v>0</v>
      </c>
      <c r="R102" s="302">
        <f>SUMIFS(考核调整事项表!$C:$C,考核调整事项表!$G:$G,累计考核费用!$B102,考核调整事项表!$D:$D,累计考核费用!R$55)+SUMIFS(考核调整事项表!$E:$E,考核调整事项表!$G:$G,累计考核费用!$B102,考核调整事项表!$F:$F,累计考核费用!R$55)</f>
        <v>0</v>
      </c>
      <c r="S102" s="302">
        <f>SUMIFS(考核调整事项表!$C:$C,考核调整事项表!$G:$G,累计考核费用!$B102,考核调整事项表!$D:$D,累计考核费用!S$55)+SUMIFS(考核调整事项表!$E:$E,考核调整事项表!$G:$G,累计考核费用!$B102,考核调整事项表!$F:$F,累计考核费用!S$55)</f>
        <v>0</v>
      </c>
      <c r="T102" s="305">
        <f t="shared" si="15"/>
        <v>0</v>
      </c>
      <c r="U102" s="302">
        <f>SUMIFS(考核调整事项表!$C:$C,考核调整事项表!$G:$G,累计考核费用!$B102,考核调整事项表!$D:$D,累计考核费用!U$55)+SUMIFS(考核调整事项表!$E:$E,考核调整事项表!$G:$G,累计考核费用!$B102,考核调整事项表!$F:$F,累计考核费用!U$55)</f>
        <v>0</v>
      </c>
      <c r="V102" s="302">
        <f>SUMIFS(考核调整事项表!$C:$C,考核调整事项表!$G:$G,累计考核费用!$B102,考核调整事项表!$D:$D,累计考核费用!V$55)+SUMIFS(考核调整事项表!$E:$E,考核调整事项表!$G:$G,累计考核费用!$B102,考核调整事项表!$F:$F,累计考核费用!V$55)</f>
        <v>0</v>
      </c>
      <c r="W102" s="302">
        <f>SUMIFS(考核调整事项表!$C:$C,考核调整事项表!$G:$G,累计考核费用!$B102,考核调整事项表!$D:$D,累计考核费用!W$55)+SUMIFS(考核调整事项表!$E:$E,考核调整事项表!$G:$G,累计考核费用!$B102,考核调整事项表!$F:$F,累计考核费用!W$55)</f>
        <v>0</v>
      </c>
      <c r="X102" s="302">
        <f>SUMIFS(考核调整事项表!$C:$C,考核调整事项表!$G:$G,累计考核费用!$B102,考核调整事项表!$D:$D,累计考核费用!X$55)+SUMIFS(考核调整事项表!$E:$E,考核调整事项表!$G:$G,累计考核费用!$B102,考核调整事项表!$F:$F,累计考核费用!X$55)</f>
        <v>0</v>
      </c>
      <c r="Y102" s="302">
        <f>SUMIFS(考核调整事项表!$C:$C,考核调整事项表!$G:$G,累计考核费用!$B102,考核调整事项表!$D:$D,累计考核费用!Y$55)+SUMIFS(考核调整事项表!$E:$E,考核调整事项表!$G:$G,累计考核费用!$B102,考核调整事项表!$F:$F,累计考核费用!Y$55)</f>
        <v>0</v>
      </c>
      <c r="Z102" s="302">
        <f>SUMIFS(考核调整事项表!$C:$C,考核调整事项表!$G:$G,累计考核费用!$B102,考核调整事项表!$D:$D,累计考核费用!Z$55)+SUMIFS(考核调整事项表!$E:$E,考核调整事项表!$G:$G,累计考核费用!$B102,考核调整事项表!$F:$F,累计考核费用!Z$55)</f>
        <v>0</v>
      </c>
      <c r="AA102" s="302">
        <f>SUMIFS(考核调整事项表!$C:$C,考核调整事项表!$G:$G,累计考核费用!$B102,考核调整事项表!$D:$D,累计考核费用!AA$55)+SUMIFS(考核调整事项表!$E:$E,考核调整事项表!$G:$G,累计考核费用!$B102,考核调整事项表!$F:$F,累计考核费用!AA$55)</f>
        <v>0</v>
      </c>
      <c r="AB102" s="302">
        <f>SUMIFS(考核调整事项表!$C:$C,考核调整事项表!$G:$G,累计考核费用!$B102,考核调整事项表!$D:$D,累计考核费用!AB$55)+SUMIFS(考核调整事项表!$E:$E,考核调整事项表!$G:$G,累计考核费用!$B102,考核调整事项表!$F:$F,累计考核费用!AB$55)</f>
        <v>0</v>
      </c>
      <c r="AC102" s="302">
        <f>SUMIFS(考核调整事项表!$C:$C,考核调整事项表!$G:$G,累计考核费用!$B102,考核调整事项表!$D:$D,累计考核费用!AC$55)+SUMIFS(考核调整事项表!$E:$E,考核调整事项表!$G:$G,累计考核费用!$B102,考核调整事项表!$F:$F,累计考核费用!AC$55)</f>
        <v>0</v>
      </c>
    </row>
    <row r="103" spans="1:29">
      <c r="A103" s="20"/>
      <c r="B103" s="69" t="s">
        <v>102</v>
      </c>
      <c r="C103" s="307">
        <f t="shared" si="7"/>
        <v>0</v>
      </c>
      <c r="D103" s="307">
        <f>SUM(D87:D102)</f>
        <v>-10171740.28</v>
      </c>
      <c r="E103" s="307">
        <f t="shared" ref="E103:AC103" si="16">SUM(E87:E102)</f>
        <v>-6654837.68862232</v>
      </c>
      <c r="F103" s="307">
        <f t="shared" si="16"/>
        <v>11260775.97</v>
      </c>
      <c r="G103" s="307">
        <f t="shared" si="16"/>
        <v>1186635</v>
      </c>
      <c r="H103" s="307">
        <f t="shared" si="16"/>
        <v>0</v>
      </c>
      <c r="I103" s="307">
        <f t="shared" si="16"/>
        <v>421575</v>
      </c>
      <c r="J103" s="307">
        <f t="shared" si="16"/>
        <v>361951</v>
      </c>
      <c r="K103" s="307">
        <f t="shared" si="16"/>
        <v>403109</v>
      </c>
      <c r="L103" s="307">
        <f t="shared" si="16"/>
        <v>2301454.34862126</v>
      </c>
      <c r="M103" s="307">
        <f t="shared" si="16"/>
        <v>368844.022871573</v>
      </c>
      <c r="N103" s="307">
        <f t="shared" si="16"/>
        <v>383046.865187976</v>
      </c>
      <c r="O103" s="307">
        <f t="shared" si="16"/>
        <v>356297.368658009</v>
      </c>
      <c r="P103" s="307">
        <f t="shared" si="16"/>
        <v>438406.082886103</v>
      </c>
      <c r="Q103" s="307">
        <f t="shared" si="16"/>
        <v>384159.999729121</v>
      </c>
      <c r="R103" s="307">
        <f t="shared" si="16"/>
        <v>370700.009288478</v>
      </c>
      <c r="S103" s="307">
        <f t="shared" si="16"/>
        <v>-1209911.53</v>
      </c>
      <c r="T103" s="307">
        <f t="shared" si="16"/>
        <v>2077712.65000106</v>
      </c>
      <c r="U103" s="307">
        <f t="shared" si="16"/>
        <v>495382.995587211</v>
      </c>
      <c r="V103" s="307">
        <f t="shared" si="16"/>
        <v>588261.377362426</v>
      </c>
      <c r="W103" s="307">
        <f t="shared" si="16"/>
        <v>361734.568944537</v>
      </c>
      <c r="X103" s="307">
        <f t="shared" si="16"/>
        <v>121848.708106887</v>
      </c>
      <c r="Y103" s="307">
        <f t="shared" si="16"/>
        <v>460174</v>
      </c>
      <c r="Z103" s="307">
        <f t="shared" si="16"/>
        <v>50311</v>
      </c>
      <c r="AA103" s="307">
        <f t="shared" si="16"/>
        <v>0</v>
      </c>
      <c r="AB103" s="307">
        <f t="shared" si="16"/>
        <v>0</v>
      </c>
      <c r="AC103" s="307">
        <f t="shared" si="16"/>
        <v>0</v>
      </c>
    </row>
    <row r="104" ht="14.25" spans="1:29">
      <c r="A104" s="23"/>
      <c r="B104" s="71" t="s">
        <v>4</v>
      </c>
      <c r="C104" s="25">
        <f t="shared" si="7"/>
        <v>0</v>
      </c>
      <c r="D104" s="25">
        <f t="shared" ref="D104" si="17">D103+D86+D66+D72</f>
        <v>13714544.8390505</v>
      </c>
      <c r="E104" s="25">
        <f>E103+E86+E72+E66</f>
        <v>-4106172.14862232</v>
      </c>
      <c r="F104" s="25">
        <f t="shared" ref="F104:AC104" si="18">F103+F86+F72+F66</f>
        <v>2675474.36792453</v>
      </c>
      <c r="G104" s="25">
        <f t="shared" si="18"/>
        <v>3110779.48</v>
      </c>
      <c r="H104" s="25">
        <f t="shared" si="18"/>
        <v>-1228475.8</v>
      </c>
      <c r="I104" s="25">
        <f t="shared" si="18"/>
        <v>405551.31</v>
      </c>
      <c r="J104" s="25">
        <f t="shared" si="18"/>
        <v>2303437.61</v>
      </c>
      <c r="K104" s="25">
        <f t="shared" si="18"/>
        <v>401790.56</v>
      </c>
      <c r="L104" s="25">
        <f t="shared" si="18"/>
        <v>1412476.10164626</v>
      </c>
      <c r="M104" s="25">
        <f t="shared" si="18"/>
        <v>262443.482871573</v>
      </c>
      <c r="N104" s="25">
        <f t="shared" si="18"/>
        <v>328795.245187976</v>
      </c>
      <c r="O104" s="25">
        <f t="shared" si="18"/>
        <v>479486.148658009</v>
      </c>
      <c r="P104" s="25">
        <f t="shared" si="18"/>
        <v>472455.652886103</v>
      </c>
      <c r="Q104" s="25">
        <f t="shared" si="18"/>
        <v>-784268.670270879</v>
      </c>
      <c r="R104" s="25">
        <f t="shared" si="18"/>
        <v>653564.242313478</v>
      </c>
      <c r="S104" s="25">
        <f t="shared" si="18"/>
        <v>-1209911.53</v>
      </c>
      <c r="T104" s="25">
        <f t="shared" si="18"/>
        <v>-16807102.6399989</v>
      </c>
      <c r="U104" s="25">
        <f t="shared" si="18"/>
        <v>482394.015587211</v>
      </c>
      <c r="V104" s="25">
        <f t="shared" si="18"/>
        <v>-15321822.4126376</v>
      </c>
      <c r="W104" s="25">
        <f t="shared" si="18"/>
        <v>-3637128.35105546</v>
      </c>
      <c r="X104" s="25">
        <f t="shared" si="18"/>
        <v>165357.908106887</v>
      </c>
      <c r="Y104" s="25">
        <f t="shared" si="18"/>
        <v>460174</v>
      </c>
      <c r="Z104" s="25">
        <f t="shared" si="18"/>
        <v>50311</v>
      </c>
      <c r="AA104" s="25">
        <f t="shared" si="18"/>
        <v>993611.2</v>
      </c>
      <c r="AB104" s="25">
        <f t="shared" si="18"/>
        <v>1391331.4</v>
      </c>
      <c r="AC104" s="25">
        <f t="shared" si="18"/>
        <v>0</v>
      </c>
    </row>
    <row r="106" ht="14.25" spans="2:2">
      <c r="B106" s="288" t="s">
        <v>74</v>
      </c>
    </row>
    <row r="107" spans="1:29">
      <c r="A107" s="26" t="s">
        <v>89</v>
      </c>
      <c r="B107" s="27" t="s">
        <v>90</v>
      </c>
      <c r="C107" s="28" t="str">
        <f>累计利润调整表!B3</f>
        <v>合计</v>
      </c>
      <c r="D107" s="28" t="str">
        <f>累计利润调整表!C3</f>
        <v>其他</v>
      </c>
      <c r="E107" s="28" t="str">
        <f>累计利润调整表!D3</f>
        <v>总部中后台</v>
      </c>
      <c r="F107" s="28" t="str">
        <f>累计利润调整表!E3</f>
        <v>经纪业务部</v>
      </c>
      <c r="G107" s="28" t="str">
        <f>累计利润调整表!F3</f>
        <v>资管业务</v>
      </c>
      <c r="H107" s="33" t="str">
        <f>累计利润调整表!G3</f>
        <v>资产管理部</v>
      </c>
      <c r="I107" s="33" t="str">
        <f>累计利润调整表!H3</f>
        <v>权益产品投资部</v>
      </c>
      <c r="J107" s="33" t="str">
        <f>累计利润调整表!I3</f>
        <v>固收产品投资部</v>
      </c>
      <c r="K107" s="33" t="str">
        <f>累计利润调整表!J3</f>
        <v>量化产品投资部</v>
      </c>
      <c r="L107" s="28" t="str">
        <f>累计利润调整表!K3</f>
        <v>深分公司合计</v>
      </c>
      <c r="M107" s="33" t="str">
        <f>累计利润调整表!L3</f>
        <v>固定收益投资部</v>
      </c>
      <c r="N107" s="33" t="str">
        <f>N3</f>
        <v>固定收益市场部</v>
      </c>
      <c r="O107" s="33" t="str">
        <f>O3</f>
        <v>投顾业务部</v>
      </c>
      <c r="P107" s="33" t="str">
        <f>累计利润调整表!O3</f>
        <v>证券投资部</v>
      </c>
      <c r="Q107" s="33" t="str">
        <f>Q3</f>
        <v>做市业务部</v>
      </c>
      <c r="R107" s="33" t="str">
        <f>累计利润调整表!Q3</f>
        <v>金融衍生品部</v>
      </c>
      <c r="S107" s="33" t="str">
        <f>累计利润调整表!R3</f>
        <v>深圳管理部</v>
      </c>
      <c r="T107" s="28" t="str">
        <f>累计利润调整表!S3</f>
        <v>投资银行合计</v>
      </c>
      <c r="U107" s="33" t="str">
        <f>累计利润调整表!T3</f>
        <v>投资银行三部</v>
      </c>
      <c r="V107" s="33" t="str">
        <f>累计利润调整表!U3</f>
        <v>投资银行一部</v>
      </c>
      <c r="W107" s="33" t="str">
        <f>累计利润调整表!V3</f>
        <v>投资银行二部</v>
      </c>
      <c r="X107" s="33" t="s">
        <v>25</v>
      </c>
      <c r="Y107" s="33" t="s">
        <v>26</v>
      </c>
      <c r="Z107" s="33" t="s">
        <v>27</v>
      </c>
      <c r="AA107" s="33" t="s">
        <v>28</v>
      </c>
      <c r="AB107" s="28" t="s">
        <v>29</v>
      </c>
      <c r="AC107" s="28" t="s">
        <v>57</v>
      </c>
    </row>
    <row r="108" customHeight="1" spans="1:29">
      <c r="A108" s="7" t="s">
        <v>91</v>
      </c>
      <c r="B108" s="57" t="s">
        <v>92</v>
      </c>
      <c r="C108" s="11">
        <f>C4+C56</f>
        <v>217890167.97</v>
      </c>
      <c r="D108" s="11">
        <f t="shared" ref="D108:Z108" si="19">D4+D56</f>
        <v>8000000</v>
      </c>
      <c r="E108" s="11">
        <f t="shared" si="19"/>
        <v>67505709.96</v>
      </c>
      <c r="F108" s="11">
        <f t="shared" si="19"/>
        <v>99940707.03</v>
      </c>
      <c r="G108" s="11">
        <f t="shared" si="19"/>
        <v>7024895.44</v>
      </c>
      <c r="H108" s="11">
        <f t="shared" si="19"/>
        <v>2681176.74</v>
      </c>
      <c r="I108" s="11">
        <f t="shared" si="19"/>
        <v>2424178.19</v>
      </c>
      <c r="J108" s="11">
        <f t="shared" si="19"/>
        <v>1550025.23</v>
      </c>
      <c r="K108" s="11">
        <f t="shared" si="19"/>
        <v>3050692.02</v>
      </c>
      <c r="L108" s="11">
        <f t="shared" si="19"/>
        <v>11757408.25</v>
      </c>
      <c r="M108" s="11">
        <f t="shared" si="19"/>
        <v>1015467.25</v>
      </c>
      <c r="N108" s="11">
        <f t="shared" si="19"/>
        <v>1814263.33</v>
      </c>
      <c r="O108" s="11">
        <f t="shared" si="19"/>
        <v>688342.9</v>
      </c>
      <c r="P108" s="11">
        <f t="shared" si="19"/>
        <v>3922725.55</v>
      </c>
      <c r="Q108" s="11">
        <f t="shared" si="19"/>
        <v>2033546.69</v>
      </c>
      <c r="R108" s="11">
        <f t="shared" si="19"/>
        <v>2283062.53</v>
      </c>
      <c r="S108" s="11">
        <f t="shared" si="19"/>
        <v>1755219.19</v>
      </c>
      <c r="T108" s="11">
        <f t="shared" si="19"/>
        <v>23661447.29</v>
      </c>
      <c r="U108" s="11">
        <f t="shared" si="19"/>
        <v>4409512.79</v>
      </c>
      <c r="V108" s="11">
        <f t="shared" si="19"/>
        <v>7778434.88</v>
      </c>
      <c r="W108" s="11">
        <f t="shared" si="19"/>
        <v>8168241.07</v>
      </c>
      <c r="X108" s="11">
        <f t="shared" si="19"/>
        <v>1603504.62</v>
      </c>
      <c r="Y108" s="11">
        <f t="shared" si="19"/>
        <v>705953.92</v>
      </c>
      <c r="Z108" s="11">
        <f t="shared" si="19"/>
        <v>319682.41</v>
      </c>
      <c r="AA108" s="11">
        <f t="shared" ref="AA108:AC117" si="20">AA4+AA56</f>
        <v>676117.6</v>
      </c>
      <c r="AB108" s="11">
        <f t="shared" si="20"/>
        <v>4671168.87</v>
      </c>
      <c r="AC108" s="11">
        <f t="shared" si="20"/>
        <v>4181867.1</v>
      </c>
    </row>
    <row r="109" spans="1:29">
      <c r="A109" s="10"/>
      <c r="B109" s="57" t="s">
        <v>93</v>
      </c>
      <c r="C109" s="11">
        <f t="shared" ref="C109:C156" si="21">C5+C57</f>
        <v>3757415.06</v>
      </c>
      <c r="D109" s="11">
        <f t="shared" ref="D109:Z109" si="22">D5+D57</f>
        <v>0</v>
      </c>
      <c r="E109" s="11">
        <f t="shared" si="22"/>
        <v>1661815.44</v>
      </c>
      <c r="F109" s="11">
        <f t="shared" si="22"/>
        <v>1473652.51</v>
      </c>
      <c r="G109" s="11">
        <f t="shared" si="22"/>
        <v>73675.18</v>
      </c>
      <c r="H109" s="11">
        <f t="shared" si="22"/>
        <v>103225.74</v>
      </c>
      <c r="I109" s="11">
        <f t="shared" si="22"/>
        <v>64107.08</v>
      </c>
      <c r="J109" s="11">
        <f t="shared" si="22"/>
        <v>4305.68</v>
      </c>
      <c r="K109" s="11">
        <f t="shared" si="22"/>
        <v>5262.42</v>
      </c>
      <c r="L109" s="11">
        <f t="shared" si="22"/>
        <v>54772.13</v>
      </c>
      <c r="M109" s="11">
        <f t="shared" si="22"/>
        <v>6530</v>
      </c>
      <c r="N109" s="11">
        <f t="shared" si="22"/>
        <v>3395</v>
      </c>
      <c r="O109" s="11">
        <f t="shared" si="22"/>
        <v>1630</v>
      </c>
      <c r="P109" s="11">
        <f t="shared" si="22"/>
        <v>25482.6</v>
      </c>
      <c r="Q109" s="11">
        <f t="shared" si="22"/>
        <v>14583.67</v>
      </c>
      <c r="R109" s="11">
        <f t="shared" si="22"/>
        <v>3150.86</v>
      </c>
      <c r="S109" s="11">
        <f t="shared" si="22"/>
        <v>49480.9</v>
      </c>
      <c r="T109" s="11">
        <f t="shared" si="22"/>
        <v>493499.8</v>
      </c>
      <c r="U109" s="11">
        <f t="shared" si="22"/>
        <v>115643.41</v>
      </c>
      <c r="V109" s="11">
        <f t="shared" si="22"/>
        <v>239563.96</v>
      </c>
      <c r="W109" s="11">
        <f t="shared" si="22"/>
        <v>117394.12</v>
      </c>
      <c r="X109" s="11">
        <f t="shared" si="22"/>
        <v>20742.12</v>
      </c>
      <c r="Y109" s="11">
        <f t="shared" si="22"/>
        <v>0</v>
      </c>
      <c r="Z109" s="11">
        <f t="shared" si="22"/>
        <v>156.19</v>
      </c>
      <c r="AA109" s="11">
        <f t="shared" si="20"/>
        <v>0</v>
      </c>
      <c r="AB109" s="11">
        <f t="shared" si="20"/>
        <v>171639.86</v>
      </c>
      <c r="AC109" s="11">
        <f t="shared" si="20"/>
        <v>157970</v>
      </c>
    </row>
    <row r="110" spans="1:29">
      <c r="A110" s="10"/>
      <c r="B110" s="57" t="s">
        <v>94</v>
      </c>
      <c r="C110" s="11">
        <f t="shared" si="21"/>
        <v>7031409.1</v>
      </c>
      <c r="D110" s="11">
        <f t="shared" ref="D110:Z110" si="23">D6+D58</f>
        <v>0</v>
      </c>
      <c r="E110" s="11">
        <f t="shared" si="23"/>
        <v>1124361.13</v>
      </c>
      <c r="F110" s="11">
        <f t="shared" si="23"/>
        <v>3477326.94</v>
      </c>
      <c r="G110" s="11">
        <f t="shared" si="23"/>
        <v>142335.36</v>
      </c>
      <c r="H110" s="11">
        <f t="shared" si="23"/>
        <v>88786.08</v>
      </c>
      <c r="I110" s="11">
        <f t="shared" si="23"/>
        <v>48735.97</v>
      </c>
      <c r="J110" s="11">
        <f t="shared" si="23"/>
        <v>31585.3</v>
      </c>
      <c r="K110" s="11">
        <f t="shared" si="23"/>
        <v>62014.09</v>
      </c>
      <c r="L110" s="11">
        <f t="shared" si="23"/>
        <v>238552.94</v>
      </c>
      <c r="M110" s="11">
        <f t="shared" si="23"/>
        <v>20154.92</v>
      </c>
      <c r="N110" s="11">
        <f t="shared" si="23"/>
        <v>37101.28</v>
      </c>
      <c r="O110" s="11">
        <f t="shared" si="23"/>
        <v>13993.65</v>
      </c>
      <c r="P110" s="11">
        <f t="shared" si="23"/>
        <v>79604.52</v>
      </c>
      <c r="Q110" s="11">
        <f t="shared" si="23"/>
        <v>41300.92</v>
      </c>
      <c r="R110" s="11">
        <f t="shared" si="23"/>
        <v>46397.65</v>
      </c>
      <c r="S110" s="11">
        <f t="shared" si="23"/>
        <v>35499.23</v>
      </c>
      <c r="T110" s="11">
        <f t="shared" si="23"/>
        <v>2048832.73</v>
      </c>
      <c r="U110" s="11">
        <f t="shared" si="23"/>
        <v>119520.69</v>
      </c>
      <c r="V110" s="11">
        <f t="shared" si="23"/>
        <v>1544941.18</v>
      </c>
      <c r="W110" s="11">
        <f t="shared" si="23"/>
        <v>326563.75</v>
      </c>
      <c r="X110" s="11">
        <f t="shared" si="23"/>
        <v>37294.39</v>
      </c>
      <c r="Y110" s="11">
        <f t="shared" si="23"/>
        <v>14119.08</v>
      </c>
      <c r="Z110" s="11">
        <f t="shared" si="23"/>
        <v>6393.64</v>
      </c>
      <c r="AA110" s="11">
        <f t="shared" si="20"/>
        <v>0</v>
      </c>
      <c r="AB110" s="11">
        <f t="shared" si="20"/>
        <v>65398.64</v>
      </c>
      <c r="AC110" s="11">
        <f t="shared" si="20"/>
        <v>85744.68</v>
      </c>
    </row>
    <row r="111" spans="1:29">
      <c r="A111" s="10"/>
      <c r="B111" s="57" t="s">
        <v>95</v>
      </c>
      <c r="C111" s="11">
        <f t="shared" si="21"/>
        <v>5248245.9</v>
      </c>
      <c r="D111" s="11">
        <f t="shared" ref="D111:Z111" si="24">D7+D59</f>
        <v>0</v>
      </c>
      <c r="E111" s="11">
        <f t="shared" si="24"/>
        <v>902667.09</v>
      </c>
      <c r="F111" s="11">
        <f t="shared" si="24"/>
        <v>2477923.82</v>
      </c>
      <c r="G111" s="11">
        <f t="shared" si="24"/>
        <v>115212.28</v>
      </c>
      <c r="H111" s="11">
        <f t="shared" si="24"/>
        <v>66589.56</v>
      </c>
      <c r="I111" s="11">
        <f t="shared" si="24"/>
        <v>36551.97</v>
      </c>
      <c r="J111" s="11">
        <f t="shared" si="24"/>
        <v>32149.73</v>
      </c>
      <c r="K111" s="11">
        <f t="shared" si="24"/>
        <v>46510.58</v>
      </c>
      <c r="L111" s="11">
        <f t="shared" si="24"/>
        <v>215679.32</v>
      </c>
      <c r="M111" s="11">
        <f t="shared" si="24"/>
        <v>23540</v>
      </c>
      <c r="N111" s="11">
        <f t="shared" si="24"/>
        <v>51628.35</v>
      </c>
      <c r="O111" s="11">
        <f t="shared" si="24"/>
        <v>15033.65</v>
      </c>
      <c r="P111" s="11">
        <f t="shared" si="24"/>
        <v>59703.38</v>
      </c>
      <c r="Q111" s="11">
        <f t="shared" si="24"/>
        <v>30975.7</v>
      </c>
      <c r="R111" s="11">
        <f t="shared" si="24"/>
        <v>34798.24</v>
      </c>
      <c r="S111" s="11">
        <f t="shared" si="24"/>
        <v>26624.39</v>
      </c>
      <c r="T111" s="11">
        <f t="shared" si="24"/>
        <v>1536763.39</v>
      </c>
      <c r="U111" s="11">
        <f t="shared" si="24"/>
        <v>89779.36</v>
      </c>
      <c r="V111" s="11">
        <f t="shared" si="24"/>
        <v>1158705.88</v>
      </c>
      <c r="W111" s="11">
        <f t="shared" si="24"/>
        <v>241337.91</v>
      </c>
      <c r="X111" s="11">
        <f t="shared" si="24"/>
        <v>27970.79</v>
      </c>
      <c r="Y111" s="11">
        <f t="shared" si="24"/>
        <v>10589.31</v>
      </c>
      <c r="Z111" s="11">
        <f t="shared" si="24"/>
        <v>4795.24</v>
      </c>
      <c r="AA111" s="11">
        <f t="shared" si="20"/>
        <v>3584.9</v>
      </c>
      <c r="AB111" s="11">
        <f t="shared" si="20"/>
        <v>60370.62</v>
      </c>
      <c r="AC111" s="11">
        <f t="shared" si="20"/>
        <v>75427.14</v>
      </c>
    </row>
    <row r="112" spans="1:29">
      <c r="A112" s="10"/>
      <c r="B112" s="57" t="s">
        <v>96</v>
      </c>
      <c r="C112" s="11">
        <f t="shared" si="21"/>
        <v>60823300.46</v>
      </c>
      <c r="D112" s="11">
        <f t="shared" ref="D112:Z112" si="25">D8+D60</f>
        <v>0</v>
      </c>
      <c r="E112" s="11">
        <f t="shared" si="25"/>
        <v>18082412.2</v>
      </c>
      <c r="F112" s="11">
        <f t="shared" si="25"/>
        <v>31151603.78</v>
      </c>
      <c r="G112" s="11">
        <f t="shared" si="25"/>
        <v>1887702.23</v>
      </c>
      <c r="H112" s="11">
        <f t="shared" si="25"/>
        <v>835716.67</v>
      </c>
      <c r="I112" s="11">
        <f t="shared" si="25"/>
        <v>814303.43</v>
      </c>
      <c r="J112" s="11">
        <f t="shared" si="25"/>
        <v>403445.1</v>
      </c>
      <c r="K112" s="11">
        <f t="shared" si="25"/>
        <v>669953.7</v>
      </c>
      <c r="L112" s="11">
        <f t="shared" si="25"/>
        <v>2607727.57</v>
      </c>
      <c r="M112" s="11">
        <f t="shared" si="25"/>
        <v>173851.6</v>
      </c>
      <c r="N112" s="11">
        <f t="shared" si="25"/>
        <v>439549.64</v>
      </c>
      <c r="O112" s="11">
        <f t="shared" si="25"/>
        <v>135575.2</v>
      </c>
      <c r="P112" s="11">
        <f t="shared" si="25"/>
        <v>953462.84</v>
      </c>
      <c r="Q112" s="11">
        <f t="shared" si="25"/>
        <v>459381.96</v>
      </c>
      <c r="R112" s="11">
        <f t="shared" si="25"/>
        <v>445906.33</v>
      </c>
      <c r="S112" s="11">
        <f t="shared" si="25"/>
        <v>437450.43</v>
      </c>
      <c r="T112" s="11">
        <f t="shared" si="25"/>
        <v>7093854.68</v>
      </c>
      <c r="U112" s="11">
        <f t="shared" si="25"/>
        <v>1463371.28</v>
      </c>
      <c r="V112" s="11">
        <f t="shared" si="25"/>
        <v>2421790.67</v>
      </c>
      <c r="W112" s="11">
        <f t="shared" si="25"/>
        <v>2192120.24</v>
      </c>
      <c r="X112" s="11">
        <f t="shared" si="25"/>
        <v>467343.51</v>
      </c>
      <c r="Y112" s="11">
        <f t="shared" si="25"/>
        <v>258828.77</v>
      </c>
      <c r="Z112" s="11">
        <f t="shared" si="25"/>
        <v>140834.66</v>
      </c>
      <c r="AA112" s="11">
        <f t="shared" si="20"/>
        <v>149565.55</v>
      </c>
      <c r="AB112" s="11">
        <f t="shared" si="20"/>
        <v>1005764.26</v>
      </c>
      <c r="AC112" s="11">
        <f t="shared" si="20"/>
        <v>1553590.99</v>
      </c>
    </row>
    <row r="113" spans="1:29">
      <c r="A113" s="10"/>
      <c r="B113" s="57" t="s">
        <v>97</v>
      </c>
      <c r="C113" s="11">
        <f t="shared" si="21"/>
        <v>359744.37</v>
      </c>
      <c r="D113" s="11">
        <f t="shared" ref="D113:Z113" si="26">D9+D61</f>
        <v>0</v>
      </c>
      <c r="E113" s="11">
        <f t="shared" si="26"/>
        <v>200000</v>
      </c>
      <c r="F113" s="11">
        <f t="shared" si="26"/>
        <v>112749</v>
      </c>
      <c r="G113" s="11">
        <f t="shared" si="26"/>
        <v>46995.37</v>
      </c>
      <c r="H113" s="11">
        <f t="shared" si="26"/>
        <v>0</v>
      </c>
      <c r="I113" s="11">
        <f t="shared" si="26"/>
        <v>0</v>
      </c>
      <c r="J113" s="11">
        <f t="shared" si="26"/>
        <v>0</v>
      </c>
      <c r="K113" s="11">
        <f t="shared" si="26"/>
        <v>46995.37</v>
      </c>
      <c r="L113" s="11">
        <f t="shared" si="26"/>
        <v>0</v>
      </c>
      <c r="M113" s="11">
        <f t="shared" si="26"/>
        <v>0</v>
      </c>
      <c r="N113" s="11">
        <f t="shared" si="26"/>
        <v>0</v>
      </c>
      <c r="O113" s="11">
        <f t="shared" si="26"/>
        <v>0</v>
      </c>
      <c r="P113" s="11">
        <f t="shared" si="26"/>
        <v>0</v>
      </c>
      <c r="Q113" s="11">
        <f t="shared" si="26"/>
        <v>0</v>
      </c>
      <c r="R113" s="11">
        <f t="shared" si="26"/>
        <v>0</v>
      </c>
      <c r="S113" s="11">
        <f t="shared" si="26"/>
        <v>0</v>
      </c>
      <c r="T113" s="11">
        <f t="shared" si="26"/>
        <v>0</v>
      </c>
      <c r="U113" s="11">
        <f t="shared" si="26"/>
        <v>0</v>
      </c>
      <c r="V113" s="11">
        <f t="shared" si="26"/>
        <v>0</v>
      </c>
      <c r="W113" s="11">
        <f t="shared" si="26"/>
        <v>0</v>
      </c>
      <c r="X113" s="11">
        <f t="shared" si="26"/>
        <v>0</v>
      </c>
      <c r="Y113" s="11">
        <f t="shared" si="26"/>
        <v>0</v>
      </c>
      <c r="Z113" s="11">
        <f t="shared" si="26"/>
        <v>0</v>
      </c>
      <c r="AA113" s="11">
        <f t="shared" si="20"/>
        <v>0</v>
      </c>
      <c r="AB113" s="11">
        <f t="shared" si="20"/>
        <v>0</v>
      </c>
      <c r="AC113" s="11">
        <f t="shared" si="20"/>
        <v>0</v>
      </c>
    </row>
    <row r="114" spans="1:29">
      <c r="A114" s="10"/>
      <c r="B114" s="57" t="s">
        <v>98</v>
      </c>
      <c r="C114" s="11">
        <f t="shared" si="21"/>
        <v>4298338.56</v>
      </c>
      <c r="D114" s="11">
        <f t="shared" ref="D114:Z114" si="27">D10+D62</f>
        <v>0</v>
      </c>
      <c r="E114" s="11">
        <f t="shared" si="27"/>
        <v>1129005.46</v>
      </c>
      <c r="F114" s="11">
        <f t="shared" si="27"/>
        <v>2729010.61</v>
      </c>
      <c r="G114" s="11">
        <f t="shared" si="27"/>
        <v>68934.18</v>
      </c>
      <c r="H114" s="11">
        <f t="shared" si="27"/>
        <v>63101.92</v>
      </c>
      <c r="I114" s="11">
        <f t="shared" si="27"/>
        <v>36758.97</v>
      </c>
      <c r="J114" s="11">
        <f t="shared" si="27"/>
        <v>10772.65</v>
      </c>
      <c r="K114" s="11">
        <f t="shared" si="27"/>
        <v>21402.56</v>
      </c>
      <c r="L114" s="11">
        <f t="shared" si="27"/>
        <v>108210.25</v>
      </c>
      <c r="M114" s="11">
        <f t="shared" si="27"/>
        <v>13465.81</v>
      </c>
      <c r="N114" s="11">
        <f t="shared" si="27"/>
        <v>24722.22</v>
      </c>
      <c r="O114" s="11">
        <f t="shared" si="27"/>
        <v>10772.65</v>
      </c>
      <c r="P114" s="11">
        <f t="shared" si="27"/>
        <v>32317.95</v>
      </c>
      <c r="Q114" s="11">
        <f t="shared" si="27"/>
        <v>10772.65</v>
      </c>
      <c r="R114" s="11">
        <f t="shared" si="27"/>
        <v>16158.97</v>
      </c>
      <c r="S114" s="11">
        <f t="shared" si="27"/>
        <v>38506.83</v>
      </c>
      <c r="T114" s="11">
        <f t="shared" si="27"/>
        <v>263178.06</v>
      </c>
      <c r="U114" s="11">
        <f t="shared" si="27"/>
        <v>78437.89</v>
      </c>
      <c r="V114" s="11">
        <f t="shared" si="27"/>
        <v>117553.85</v>
      </c>
      <c r="W114" s="11">
        <f t="shared" si="27"/>
        <v>45641.02</v>
      </c>
      <c r="X114" s="11">
        <f t="shared" si="27"/>
        <v>21545.3</v>
      </c>
      <c r="Y114" s="11">
        <f t="shared" si="27"/>
        <v>0</v>
      </c>
      <c r="Z114" s="11">
        <f t="shared" si="27"/>
        <v>0</v>
      </c>
      <c r="AA114" s="11">
        <f t="shared" si="20"/>
        <v>0</v>
      </c>
      <c r="AB114" s="11">
        <f t="shared" si="20"/>
        <v>58304.27</v>
      </c>
      <c r="AC114" s="11">
        <f t="shared" si="20"/>
        <v>164907.12</v>
      </c>
    </row>
    <row r="115" spans="1:29">
      <c r="A115" s="10"/>
      <c r="B115" s="57" t="s">
        <v>99</v>
      </c>
      <c r="C115" s="11">
        <f t="shared" si="21"/>
        <v>2730887.59</v>
      </c>
      <c r="D115" s="11">
        <f t="shared" ref="D115:Z115" si="28">D11+D63</f>
        <v>0</v>
      </c>
      <c r="E115" s="11">
        <f t="shared" si="28"/>
        <v>647008.28</v>
      </c>
      <c r="F115" s="11">
        <f t="shared" si="28"/>
        <v>1825166.21</v>
      </c>
      <c r="G115" s="11">
        <f t="shared" si="28"/>
        <v>91873.1</v>
      </c>
      <c r="H115" s="11">
        <f t="shared" si="28"/>
        <v>26120</v>
      </c>
      <c r="I115" s="11">
        <f t="shared" si="28"/>
        <v>12620</v>
      </c>
      <c r="J115" s="11">
        <f t="shared" si="28"/>
        <v>29240</v>
      </c>
      <c r="K115" s="11">
        <f t="shared" si="28"/>
        <v>50013.1</v>
      </c>
      <c r="L115" s="11">
        <f t="shared" si="28"/>
        <v>166840</v>
      </c>
      <c r="M115" s="11">
        <f t="shared" si="28"/>
        <v>-7720</v>
      </c>
      <c r="N115" s="11">
        <f t="shared" si="28"/>
        <v>40800</v>
      </c>
      <c r="O115" s="11">
        <f t="shared" si="28"/>
        <v>11340</v>
      </c>
      <c r="P115" s="11">
        <f t="shared" si="28"/>
        <v>57500</v>
      </c>
      <c r="Q115" s="11">
        <f t="shared" si="28"/>
        <v>31500</v>
      </c>
      <c r="R115" s="11">
        <f t="shared" si="28"/>
        <v>33420</v>
      </c>
      <c r="S115" s="11">
        <f t="shared" si="28"/>
        <v>19740</v>
      </c>
      <c r="T115" s="11">
        <f t="shared" si="28"/>
        <v>0</v>
      </c>
      <c r="U115" s="11">
        <f t="shared" si="28"/>
        <v>0</v>
      </c>
      <c r="V115" s="11">
        <f t="shared" si="28"/>
        <v>0</v>
      </c>
      <c r="W115" s="11">
        <f t="shared" si="28"/>
        <v>0</v>
      </c>
      <c r="X115" s="11">
        <f t="shared" si="28"/>
        <v>0</v>
      </c>
      <c r="Y115" s="11">
        <f t="shared" si="28"/>
        <v>0</v>
      </c>
      <c r="Z115" s="11">
        <f t="shared" si="28"/>
        <v>0</v>
      </c>
      <c r="AA115" s="11">
        <f t="shared" si="20"/>
        <v>0</v>
      </c>
      <c r="AB115" s="11">
        <f t="shared" si="20"/>
        <v>0</v>
      </c>
      <c r="AC115" s="11">
        <f t="shared" si="20"/>
        <v>105368.28</v>
      </c>
    </row>
    <row r="116" spans="1:29">
      <c r="A116" s="10"/>
      <c r="B116" s="57" t="s">
        <v>100</v>
      </c>
      <c r="C116" s="11">
        <f t="shared" si="21"/>
        <v>4184140.38</v>
      </c>
      <c r="D116" s="11">
        <f t="shared" ref="D116:Z116" si="29">D12+D64</f>
        <v>0</v>
      </c>
      <c r="E116" s="11">
        <f t="shared" si="29"/>
        <v>3278042.76</v>
      </c>
      <c r="F116" s="11">
        <f t="shared" si="29"/>
        <v>906097.62</v>
      </c>
      <c r="G116" s="11">
        <f t="shared" si="29"/>
        <v>0</v>
      </c>
      <c r="H116" s="11">
        <f t="shared" si="29"/>
        <v>0</v>
      </c>
      <c r="I116" s="11">
        <f t="shared" si="29"/>
        <v>0</v>
      </c>
      <c r="J116" s="11">
        <f t="shared" si="29"/>
        <v>0</v>
      </c>
      <c r="K116" s="11">
        <f t="shared" si="29"/>
        <v>0</v>
      </c>
      <c r="L116" s="11">
        <f t="shared" si="29"/>
        <v>0</v>
      </c>
      <c r="M116" s="11">
        <f t="shared" si="29"/>
        <v>0</v>
      </c>
      <c r="N116" s="11">
        <f t="shared" si="29"/>
        <v>0</v>
      </c>
      <c r="O116" s="11">
        <f t="shared" si="29"/>
        <v>0</v>
      </c>
      <c r="P116" s="11">
        <f t="shared" si="29"/>
        <v>0</v>
      </c>
      <c r="Q116" s="11">
        <f t="shared" si="29"/>
        <v>0</v>
      </c>
      <c r="R116" s="11">
        <f t="shared" si="29"/>
        <v>0</v>
      </c>
      <c r="S116" s="11">
        <f t="shared" si="29"/>
        <v>417406.87</v>
      </c>
      <c r="T116" s="11">
        <f t="shared" si="29"/>
        <v>0</v>
      </c>
      <c r="U116" s="11">
        <f t="shared" si="29"/>
        <v>0</v>
      </c>
      <c r="V116" s="11">
        <f t="shared" si="29"/>
        <v>0</v>
      </c>
      <c r="W116" s="11">
        <f t="shared" si="29"/>
        <v>0</v>
      </c>
      <c r="X116" s="11">
        <f t="shared" si="29"/>
        <v>0</v>
      </c>
      <c r="Y116" s="11">
        <f t="shared" si="29"/>
        <v>0</v>
      </c>
      <c r="Z116" s="11">
        <f t="shared" si="29"/>
        <v>0</v>
      </c>
      <c r="AA116" s="11">
        <f t="shared" si="20"/>
        <v>0</v>
      </c>
      <c r="AB116" s="11">
        <f t="shared" si="20"/>
        <v>131349.48</v>
      </c>
      <c r="AC116" s="11">
        <f t="shared" si="20"/>
        <v>1159133.96</v>
      </c>
    </row>
    <row r="117" spans="1:29">
      <c r="A117" s="10"/>
      <c r="B117" s="57" t="s">
        <v>101</v>
      </c>
      <c r="C117" s="11">
        <f t="shared" si="21"/>
        <v>18717459.08</v>
      </c>
      <c r="D117" s="11">
        <f t="shared" ref="D117:Z117" si="30">D13+D65</f>
        <v>-6782540.92</v>
      </c>
      <c r="E117" s="11">
        <f t="shared" si="30"/>
        <v>25500000</v>
      </c>
      <c r="F117" s="11">
        <f t="shared" si="30"/>
        <v>0</v>
      </c>
      <c r="G117" s="11">
        <f t="shared" si="30"/>
        <v>0</v>
      </c>
      <c r="H117" s="11">
        <f t="shared" si="30"/>
        <v>0</v>
      </c>
      <c r="I117" s="11">
        <f t="shared" si="30"/>
        <v>0</v>
      </c>
      <c r="J117" s="11">
        <f t="shared" si="30"/>
        <v>0</v>
      </c>
      <c r="K117" s="11">
        <f t="shared" si="30"/>
        <v>0</v>
      </c>
      <c r="L117" s="11">
        <f t="shared" si="30"/>
        <v>0</v>
      </c>
      <c r="M117" s="11">
        <f t="shared" si="30"/>
        <v>0</v>
      </c>
      <c r="N117" s="11">
        <f t="shared" si="30"/>
        <v>0</v>
      </c>
      <c r="O117" s="11">
        <f t="shared" si="30"/>
        <v>0</v>
      </c>
      <c r="P117" s="11">
        <f t="shared" si="30"/>
        <v>0</v>
      </c>
      <c r="Q117" s="11">
        <f t="shared" si="30"/>
        <v>0</v>
      </c>
      <c r="R117" s="11">
        <f t="shared" si="30"/>
        <v>0</v>
      </c>
      <c r="S117" s="11">
        <f t="shared" si="30"/>
        <v>0</v>
      </c>
      <c r="T117" s="11">
        <f t="shared" si="30"/>
        <v>0</v>
      </c>
      <c r="U117" s="11">
        <f t="shared" si="30"/>
        <v>0</v>
      </c>
      <c r="V117" s="11">
        <f t="shared" si="30"/>
        <v>0</v>
      </c>
      <c r="W117" s="11">
        <f t="shared" si="30"/>
        <v>0</v>
      </c>
      <c r="X117" s="11">
        <f t="shared" si="30"/>
        <v>0</v>
      </c>
      <c r="Y117" s="11">
        <f t="shared" si="30"/>
        <v>0</v>
      </c>
      <c r="Z117" s="11">
        <f t="shared" si="30"/>
        <v>0</v>
      </c>
      <c r="AA117" s="11">
        <f t="shared" si="20"/>
        <v>0</v>
      </c>
      <c r="AB117" s="11">
        <f t="shared" si="20"/>
        <v>0</v>
      </c>
      <c r="AC117" s="11">
        <f t="shared" si="20"/>
        <v>0</v>
      </c>
    </row>
    <row r="118" customHeight="1" spans="1:29">
      <c r="A118" s="12"/>
      <c r="B118" s="69" t="s">
        <v>102</v>
      </c>
      <c r="C118" s="306">
        <f t="shared" si="21"/>
        <v>325041108.47</v>
      </c>
      <c r="D118" s="306">
        <f t="shared" ref="D118:U118" si="31">SUM(D108:D117)</f>
        <v>1217459.08</v>
      </c>
      <c r="E118" s="306">
        <f t="shared" si="31"/>
        <v>120031022.32</v>
      </c>
      <c r="F118" s="306">
        <f t="shared" si="31"/>
        <v>144094237.52</v>
      </c>
      <c r="G118" s="306">
        <f t="shared" si="31"/>
        <v>9451623.14</v>
      </c>
      <c r="H118" s="306">
        <f t="shared" si="31"/>
        <v>3864716.71</v>
      </c>
      <c r="I118" s="306">
        <f t="shared" si="31"/>
        <v>3437255.61</v>
      </c>
      <c r="J118" s="306">
        <f t="shared" si="31"/>
        <v>2061523.69</v>
      </c>
      <c r="K118" s="306">
        <f t="shared" si="31"/>
        <v>3952843.84</v>
      </c>
      <c r="L118" s="306">
        <f t="shared" si="31"/>
        <v>15149190.46</v>
      </c>
      <c r="M118" s="306">
        <f t="shared" si="31"/>
        <v>1245289.58</v>
      </c>
      <c r="N118" s="306">
        <f t="shared" si="31"/>
        <v>2411459.82</v>
      </c>
      <c r="O118" s="306">
        <f t="shared" si="31"/>
        <v>876688.05</v>
      </c>
      <c r="P118" s="306">
        <f t="shared" si="31"/>
        <v>5130796.84</v>
      </c>
      <c r="Q118" s="306">
        <f t="shared" si="31"/>
        <v>2622061.59</v>
      </c>
      <c r="R118" s="306">
        <f t="shared" si="31"/>
        <v>2862894.58</v>
      </c>
      <c r="S118" s="306">
        <f t="shared" si="31"/>
        <v>2779927.84</v>
      </c>
      <c r="T118" s="306">
        <f t="shared" si="31"/>
        <v>35097575.95</v>
      </c>
      <c r="U118" s="306">
        <f t="shared" si="31"/>
        <v>6276265.42</v>
      </c>
      <c r="V118" s="306">
        <f t="shared" ref="V118:AC118" si="32">SUM(V108:V117)</f>
        <v>13260990.42</v>
      </c>
      <c r="W118" s="306">
        <f t="shared" si="32"/>
        <v>11091298.11</v>
      </c>
      <c r="X118" s="306">
        <f t="shared" si="32"/>
        <v>2178400.73</v>
      </c>
      <c r="Y118" s="306">
        <f t="shared" si="32"/>
        <v>989491.08</v>
      </c>
      <c r="Z118" s="306">
        <f t="shared" si="32"/>
        <v>471862.14</v>
      </c>
      <c r="AA118" s="306">
        <f t="shared" si="32"/>
        <v>829268.05</v>
      </c>
      <c r="AB118" s="306">
        <f t="shared" si="32"/>
        <v>6163996</v>
      </c>
      <c r="AC118" s="306">
        <f t="shared" si="32"/>
        <v>7484009.27</v>
      </c>
    </row>
    <row r="119" customHeight="1" spans="1:29">
      <c r="A119" s="14" t="s">
        <v>103</v>
      </c>
      <c r="B119" s="57" t="s">
        <v>104</v>
      </c>
      <c r="C119" s="11">
        <f t="shared" si="21"/>
        <v>106768217.3</v>
      </c>
      <c r="D119" s="11">
        <f t="shared" ref="D119:Z119" si="33">D15+D67</f>
        <v>15445838.99</v>
      </c>
      <c r="E119" s="11">
        <f t="shared" si="33"/>
        <v>1075177.18</v>
      </c>
      <c r="F119" s="11">
        <f t="shared" si="33"/>
        <v>28963999.47</v>
      </c>
      <c r="G119" s="11">
        <f t="shared" si="33"/>
        <v>2709874.52</v>
      </c>
      <c r="H119" s="11">
        <f t="shared" si="33"/>
        <v>1075177.18</v>
      </c>
      <c r="I119" s="11">
        <f t="shared" si="33"/>
        <v>0</v>
      </c>
      <c r="J119" s="11">
        <f t="shared" si="33"/>
        <v>1783382.02</v>
      </c>
      <c r="K119" s="11">
        <f t="shared" si="33"/>
        <v>926492.5</v>
      </c>
      <c r="L119" s="11">
        <f t="shared" si="33"/>
        <v>3400</v>
      </c>
      <c r="M119" s="11">
        <f t="shared" si="33"/>
        <v>0</v>
      </c>
      <c r="N119" s="11">
        <f t="shared" si="33"/>
        <v>0</v>
      </c>
      <c r="O119" s="11">
        <f t="shared" si="33"/>
        <v>0</v>
      </c>
      <c r="P119" s="11">
        <f t="shared" si="33"/>
        <v>0</v>
      </c>
      <c r="Q119" s="11">
        <f t="shared" si="33"/>
        <v>0</v>
      </c>
      <c r="R119" s="11">
        <f t="shared" si="33"/>
        <v>3400</v>
      </c>
      <c r="S119" s="11">
        <f t="shared" si="33"/>
        <v>0</v>
      </c>
      <c r="T119" s="11">
        <f t="shared" si="33"/>
        <v>58569927.14</v>
      </c>
      <c r="U119" s="11">
        <f t="shared" si="33"/>
        <v>1552531.8</v>
      </c>
      <c r="V119" s="11">
        <f t="shared" si="33"/>
        <v>52426852.95</v>
      </c>
      <c r="W119" s="11">
        <f t="shared" si="33"/>
        <v>4329327.39</v>
      </c>
      <c r="X119" s="11">
        <f t="shared" si="33"/>
        <v>261215</v>
      </c>
      <c r="Y119" s="11">
        <f t="shared" si="33"/>
        <v>0</v>
      </c>
      <c r="Z119" s="11">
        <f t="shared" si="33"/>
        <v>0</v>
      </c>
      <c r="AA119" s="11">
        <f t="shared" ref="AA119:AC123" si="34">AA15+AA67</f>
        <v>0</v>
      </c>
      <c r="AB119" s="11">
        <f t="shared" si="34"/>
        <v>0</v>
      </c>
      <c r="AC119" s="11">
        <f t="shared" si="34"/>
        <v>0</v>
      </c>
    </row>
    <row r="120" spans="1:29">
      <c r="A120" s="16"/>
      <c r="B120" s="57" t="s">
        <v>105</v>
      </c>
      <c r="C120" s="11">
        <f t="shared" si="21"/>
        <v>68087630.73</v>
      </c>
      <c r="D120" s="11">
        <f t="shared" ref="D120:Z120" si="35">D16+D68</f>
        <v>5646775.83207547</v>
      </c>
      <c r="E120" s="11">
        <f t="shared" si="35"/>
        <v>13236.87</v>
      </c>
      <c r="F120" s="11">
        <f t="shared" si="35"/>
        <v>57974068.6579245</v>
      </c>
      <c r="G120" s="11">
        <f t="shared" si="35"/>
        <v>-606</v>
      </c>
      <c r="H120" s="11">
        <f t="shared" si="35"/>
        <v>0</v>
      </c>
      <c r="I120" s="11">
        <f t="shared" si="35"/>
        <v>0</v>
      </c>
      <c r="J120" s="11">
        <f t="shared" si="35"/>
        <v>0</v>
      </c>
      <c r="K120" s="11">
        <f t="shared" si="35"/>
        <v>-606</v>
      </c>
      <c r="L120" s="11">
        <f t="shared" si="35"/>
        <v>20000</v>
      </c>
      <c r="M120" s="11">
        <f t="shared" si="35"/>
        <v>0</v>
      </c>
      <c r="N120" s="11">
        <f t="shared" si="35"/>
        <v>20000</v>
      </c>
      <c r="O120" s="11">
        <f t="shared" si="35"/>
        <v>0</v>
      </c>
      <c r="P120" s="11">
        <f t="shared" si="35"/>
        <v>0</v>
      </c>
      <c r="Q120" s="11">
        <f t="shared" si="35"/>
        <v>0</v>
      </c>
      <c r="R120" s="11">
        <f t="shared" si="35"/>
        <v>0</v>
      </c>
      <c r="S120" s="11">
        <f t="shared" si="35"/>
        <v>0</v>
      </c>
      <c r="T120" s="11">
        <f t="shared" si="35"/>
        <v>4434155.37</v>
      </c>
      <c r="U120" s="11">
        <f t="shared" si="35"/>
        <v>690047</v>
      </c>
      <c r="V120" s="11">
        <f t="shared" si="35"/>
        <v>791537.1</v>
      </c>
      <c r="W120" s="11">
        <f t="shared" si="35"/>
        <v>2731704.85</v>
      </c>
      <c r="X120" s="11">
        <f t="shared" si="35"/>
        <v>220866.42</v>
      </c>
      <c r="Y120" s="11">
        <f t="shared" si="35"/>
        <v>0</v>
      </c>
      <c r="Z120" s="11">
        <f t="shared" si="35"/>
        <v>0</v>
      </c>
      <c r="AA120" s="11">
        <f t="shared" si="34"/>
        <v>0</v>
      </c>
      <c r="AB120" s="11">
        <f t="shared" si="34"/>
        <v>0</v>
      </c>
      <c r="AC120" s="11">
        <f t="shared" si="34"/>
        <v>13236.87</v>
      </c>
    </row>
    <row r="121" spans="1:29">
      <c r="A121" s="16"/>
      <c r="B121" s="57" t="s">
        <v>106</v>
      </c>
      <c r="C121" s="11">
        <f t="shared" si="21"/>
        <v>20379642.35</v>
      </c>
      <c r="D121" s="11">
        <f t="shared" ref="D121:Z121" si="36">D17+D69</f>
        <v>767985.036975</v>
      </c>
      <c r="E121" s="11">
        <f t="shared" si="36"/>
        <v>-4537138.16</v>
      </c>
      <c r="F121" s="11">
        <f t="shared" si="36"/>
        <v>16594052.87</v>
      </c>
      <c r="G121" s="11">
        <f t="shared" si="36"/>
        <v>-693602.89</v>
      </c>
      <c r="H121" s="11">
        <f t="shared" si="36"/>
        <v>402295.85</v>
      </c>
      <c r="I121" s="11">
        <f t="shared" si="36"/>
        <v>-895329.19</v>
      </c>
      <c r="J121" s="11">
        <f t="shared" si="36"/>
        <v>244965.8</v>
      </c>
      <c r="K121" s="11">
        <f t="shared" si="36"/>
        <v>-43239.5</v>
      </c>
      <c r="L121" s="11">
        <f t="shared" si="36"/>
        <v>3144227.973025</v>
      </c>
      <c r="M121" s="11">
        <f t="shared" si="36"/>
        <v>857998.09</v>
      </c>
      <c r="N121" s="11">
        <f t="shared" si="36"/>
        <v>622896.73</v>
      </c>
      <c r="O121" s="11">
        <f t="shared" si="36"/>
        <v>75918.85</v>
      </c>
      <c r="P121" s="11">
        <f t="shared" si="36"/>
        <v>1125439.8</v>
      </c>
      <c r="Q121" s="11">
        <f t="shared" si="36"/>
        <v>394225.15</v>
      </c>
      <c r="R121" s="11">
        <f t="shared" si="36"/>
        <v>67749.353025</v>
      </c>
      <c r="S121" s="11">
        <f t="shared" si="36"/>
        <v>155.78</v>
      </c>
      <c r="T121" s="11">
        <f t="shared" si="36"/>
        <v>5104117.52</v>
      </c>
      <c r="U121" s="11">
        <f t="shared" si="36"/>
        <v>348761.78</v>
      </c>
      <c r="V121" s="11">
        <f t="shared" si="36"/>
        <v>4198408.08</v>
      </c>
      <c r="W121" s="11">
        <f t="shared" si="36"/>
        <v>499901.69</v>
      </c>
      <c r="X121" s="11">
        <f t="shared" si="36"/>
        <v>57045.97</v>
      </c>
      <c r="Y121" s="11">
        <f t="shared" si="36"/>
        <v>0</v>
      </c>
      <c r="Z121" s="11">
        <f t="shared" si="36"/>
        <v>0</v>
      </c>
      <c r="AA121" s="11">
        <f t="shared" si="34"/>
        <v>0</v>
      </c>
      <c r="AB121" s="11">
        <f>AB17+AB69</f>
        <v>-560.700000000001</v>
      </c>
      <c r="AC121" s="11">
        <f t="shared" si="34"/>
        <v>2.99</v>
      </c>
    </row>
    <row r="122" spans="1:29">
      <c r="A122" s="16"/>
      <c r="B122" s="57" t="s">
        <v>107</v>
      </c>
      <c r="C122" s="11">
        <f t="shared" si="21"/>
        <v>739699.23</v>
      </c>
      <c r="D122" s="11">
        <f t="shared" ref="D122:Z122" si="37">D18+D70</f>
        <v>0</v>
      </c>
      <c r="E122" s="11">
        <f t="shared" si="37"/>
        <v>348900</v>
      </c>
      <c r="F122" s="11">
        <f t="shared" si="37"/>
        <v>390799.23</v>
      </c>
      <c r="G122" s="11">
        <f t="shared" si="37"/>
        <v>0</v>
      </c>
      <c r="H122" s="11">
        <f t="shared" si="37"/>
        <v>0</v>
      </c>
      <c r="I122" s="11">
        <f t="shared" si="37"/>
        <v>0</v>
      </c>
      <c r="J122" s="11">
        <f t="shared" si="37"/>
        <v>0</v>
      </c>
      <c r="K122" s="11">
        <f t="shared" si="37"/>
        <v>0</v>
      </c>
      <c r="L122" s="11">
        <f t="shared" si="37"/>
        <v>0</v>
      </c>
      <c r="M122" s="11">
        <f t="shared" si="37"/>
        <v>0</v>
      </c>
      <c r="N122" s="11">
        <f t="shared" si="37"/>
        <v>0</v>
      </c>
      <c r="O122" s="11">
        <f t="shared" si="37"/>
        <v>0</v>
      </c>
      <c r="P122" s="11">
        <f t="shared" si="37"/>
        <v>0</v>
      </c>
      <c r="Q122" s="11">
        <f t="shared" si="37"/>
        <v>0</v>
      </c>
      <c r="R122" s="11">
        <f t="shared" si="37"/>
        <v>0</v>
      </c>
      <c r="S122" s="11">
        <f t="shared" si="37"/>
        <v>0</v>
      </c>
      <c r="T122" s="11">
        <f t="shared" si="37"/>
        <v>0</v>
      </c>
      <c r="U122" s="11">
        <f t="shared" si="37"/>
        <v>0</v>
      </c>
      <c r="V122" s="11">
        <f t="shared" si="37"/>
        <v>0</v>
      </c>
      <c r="W122" s="11">
        <f t="shared" si="37"/>
        <v>0</v>
      </c>
      <c r="X122" s="11">
        <f t="shared" si="37"/>
        <v>0</v>
      </c>
      <c r="Y122" s="11">
        <f t="shared" si="37"/>
        <v>0</v>
      </c>
      <c r="Z122" s="11">
        <f t="shared" si="37"/>
        <v>0</v>
      </c>
      <c r="AA122" s="11">
        <f t="shared" si="34"/>
        <v>0</v>
      </c>
      <c r="AB122" s="11">
        <f t="shared" si="34"/>
        <v>0</v>
      </c>
      <c r="AC122" s="11">
        <f t="shared" si="34"/>
        <v>0</v>
      </c>
    </row>
    <row r="123" customHeight="1" spans="1:29">
      <c r="A123" s="16"/>
      <c r="B123" s="57" t="s">
        <v>108</v>
      </c>
      <c r="C123" s="11">
        <f t="shared" si="21"/>
        <v>14069543.86</v>
      </c>
      <c r="D123" s="11">
        <f t="shared" ref="D123:Z123" si="38">D19+D71</f>
        <v>0</v>
      </c>
      <c r="E123" s="11">
        <f t="shared" si="38"/>
        <v>203885.32</v>
      </c>
      <c r="F123" s="11">
        <f t="shared" si="38"/>
        <v>12892627.04</v>
      </c>
      <c r="G123" s="11">
        <f t="shared" si="38"/>
        <v>442212.08</v>
      </c>
      <c r="H123" s="11">
        <f t="shared" si="38"/>
        <v>203885.32</v>
      </c>
      <c r="I123" s="11">
        <f t="shared" si="38"/>
        <v>60000</v>
      </c>
      <c r="J123" s="11">
        <f t="shared" si="38"/>
        <v>212054.79</v>
      </c>
      <c r="K123" s="11">
        <f t="shared" si="38"/>
        <v>170157.29</v>
      </c>
      <c r="L123" s="11">
        <f t="shared" si="38"/>
        <v>530819.42</v>
      </c>
      <c r="M123" s="11">
        <f t="shared" si="38"/>
        <v>48333.34</v>
      </c>
      <c r="N123" s="11">
        <f t="shared" si="38"/>
        <v>44937.1</v>
      </c>
      <c r="O123" s="11">
        <f t="shared" si="38"/>
        <v>138481.73</v>
      </c>
      <c r="P123" s="11">
        <f t="shared" si="38"/>
        <v>163102.45</v>
      </c>
      <c r="Q123" s="11">
        <f t="shared" si="38"/>
        <v>60303.22</v>
      </c>
      <c r="R123" s="11">
        <f t="shared" si="38"/>
        <v>75661.58</v>
      </c>
      <c r="S123" s="11">
        <f t="shared" si="38"/>
        <v>0</v>
      </c>
      <c r="T123" s="11">
        <f t="shared" si="38"/>
        <v>0</v>
      </c>
      <c r="U123" s="11">
        <f t="shared" si="38"/>
        <v>0</v>
      </c>
      <c r="V123" s="11">
        <f t="shared" si="38"/>
        <v>0</v>
      </c>
      <c r="W123" s="11">
        <f t="shared" si="38"/>
        <v>0</v>
      </c>
      <c r="X123" s="11">
        <f t="shared" si="38"/>
        <v>0</v>
      </c>
      <c r="Y123" s="11">
        <f t="shared" si="38"/>
        <v>0</v>
      </c>
      <c r="Z123" s="11">
        <f t="shared" si="38"/>
        <v>0</v>
      </c>
      <c r="AA123" s="11">
        <f t="shared" si="34"/>
        <v>0</v>
      </c>
      <c r="AB123" s="11">
        <f t="shared" si="34"/>
        <v>0</v>
      </c>
      <c r="AC123" s="11">
        <f t="shared" si="34"/>
        <v>0</v>
      </c>
    </row>
    <row r="124" spans="1:29">
      <c r="A124" s="17"/>
      <c r="B124" s="69" t="s">
        <v>102</v>
      </c>
      <c r="C124" s="306">
        <f t="shared" si="21"/>
        <v>210044733.47</v>
      </c>
      <c r="D124" s="306">
        <f t="shared" ref="D124:U124" si="39">SUM(D119:D123)</f>
        <v>21860599.8590505</v>
      </c>
      <c r="E124" s="306">
        <f t="shared" si="39"/>
        <v>-2895938.79</v>
      </c>
      <c r="F124" s="306">
        <f t="shared" si="39"/>
        <v>116815547.267925</v>
      </c>
      <c r="G124" s="306">
        <f t="shared" si="39"/>
        <v>2457877.71</v>
      </c>
      <c r="H124" s="306">
        <f t="shared" si="39"/>
        <v>1681358.35</v>
      </c>
      <c r="I124" s="306">
        <f t="shared" si="39"/>
        <v>-835329.19</v>
      </c>
      <c r="J124" s="306">
        <f t="shared" si="39"/>
        <v>2240402.61</v>
      </c>
      <c r="K124" s="306">
        <f t="shared" si="39"/>
        <v>1052804.29</v>
      </c>
      <c r="L124" s="306">
        <f t="shared" si="39"/>
        <v>3698447.393025</v>
      </c>
      <c r="M124" s="306">
        <f t="shared" si="39"/>
        <v>906331.43</v>
      </c>
      <c r="N124" s="306">
        <f t="shared" si="39"/>
        <v>687833.83</v>
      </c>
      <c r="O124" s="306">
        <f t="shared" si="39"/>
        <v>214400.58</v>
      </c>
      <c r="P124" s="306">
        <f t="shared" si="39"/>
        <v>1288542.25</v>
      </c>
      <c r="Q124" s="306">
        <f t="shared" si="39"/>
        <v>454528.37</v>
      </c>
      <c r="R124" s="306">
        <f t="shared" si="39"/>
        <v>146810.933025</v>
      </c>
      <c r="S124" s="306">
        <f t="shared" si="39"/>
        <v>155.78</v>
      </c>
      <c r="T124" s="306">
        <f t="shared" si="39"/>
        <v>68108200.03</v>
      </c>
      <c r="U124" s="306">
        <f t="shared" si="39"/>
        <v>2591340.58</v>
      </c>
      <c r="V124" s="306">
        <f t="shared" ref="V124:AC124" si="40">SUM(V119:V123)</f>
        <v>57416798.13</v>
      </c>
      <c r="W124" s="306">
        <f t="shared" si="40"/>
        <v>7560933.93</v>
      </c>
      <c r="X124" s="306">
        <f t="shared" si="40"/>
        <v>539127.39</v>
      </c>
      <c r="Y124" s="306">
        <f t="shared" si="40"/>
        <v>0</v>
      </c>
      <c r="Z124" s="306">
        <f t="shared" si="40"/>
        <v>0</v>
      </c>
      <c r="AA124" s="306">
        <f t="shared" si="40"/>
        <v>0</v>
      </c>
      <c r="AB124" s="306">
        <f t="shared" si="40"/>
        <v>-560.700000000001</v>
      </c>
      <c r="AC124" s="306">
        <f t="shared" si="40"/>
        <v>13239.86</v>
      </c>
    </row>
    <row r="125" customHeight="1" spans="1:29">
      <c r="A125" s="18" t="s">
        <v>109</v>
      </c>
      <c r="B125" s="57" t="s">
        <v>110</v>
      </c>
      <c r="C125" s="11">
        <f t="shared" si="21"/>
        <v>28247185.26</v>
      </c>
      <c r="D125" s="11">
        <f t="shared" ref="D125:Z125" si="41">D21+D73</f>
        <v>5182</v>
      </c>
      <c r="E125" s="11">
        <f t="shared" si="41"/>
        <v>3482076.18</v>
      </c>
      <c r="F125" s="11">
        <f t="shared" si="41"/>
        <v>13634451.72</v>
      </c>
      <c r="G125" s="11">
        <f t="shared" si="41"/>
        <v>855337.9</v>
      </c>
      <c r="H125" s="11">
        <f t="shared" si="41"/>
        <v>372159.66</v>
      </c>
      <c r="I125" s="11">
        <f t="shared" si="41"/>
        <v>439931.08</v>
      </c>
      <c r="J125" s="11">
        <f t="shared" si="41"/>
        <v>109612.81</v>
      </c>
      <c r="K125" s="11">
        <f t="shared" si="41"/>
        <v>305794.01</v>
      </c>
      <c r="L125" s="11">
        <f t="shared" si="41"/>
        <v>1159981.53</v>
      </c>
      <c r="M125" s="11">
        <f t="shared" si="41"/>
        <v>142994.65</v>
      </c>
      <c r="N125" s="11">
        <f t="shared" si="41"/>
        <v>184407.77</v>
      </c>
      <c r="O125" s="11">
        <f t="shared" si="41"/>
        <v>168313.15</v>
      </c>
      <c r="P125" s="11">
        <f t="shared" si="41"/>
        <v>267456.19</v>
      </c>
      <c r="Q125" s="11">
        <f t="shared" si="41"/>
        <v>191184.93</v>
      </c>
      <c r="R125" s="11">
        <f t="shared" si="41"/>
        <v>205624.84</v>
      </c>
      <c r="S125" s="11">
        <f t="shared" si="41"/>
        <v>198351.91</v>
      </c>
      <c r="T125" s="11">
        <f t="shared" si="41"/>
        <v>9110155.93</v>
      </c>
      <c r="U125" s="11">
        <f t="shared" si="41"/>
        <v>813304.43</v>
      </c>
      <c r="V125" s="11">
        <f t="shared" si="41"/>
        <v>5951029.26</v>
      </c>
      <c r="W125" s="11">
        <f t="shared" si="41"/>
        <v>1523683.97</v>
      </c>
      <c r="X125" s="11">
        <f t="shared" si="41"/>
        <v>310007.38</v>
      </c>
      <c r="Y125" s="11">
        <f t="shared" si="41"/>
        <v>421726.66</v>
      </c>
      <c r="Z125" s="11">
        <f t="shared" si="41"/>
        <v>35258.56</v>
      </c>
      <c r="AA125" s="11">
        <f t="shared" ref="AA125:AC137" si="42">AA21+AA73</f>
        <v>55145.67</v>
      </c>
      <c r="AB125" s="11">
        <f t="shared" si="42"/>
        <v>372733.03</v>
      </c>
      <c r="AC125" s="11">
        <f t="shared" si="42"/>
        <v>210057.29</v>
      </c>
    </row>
    <row r="126" spans="1:29">
      <c r="A126" s="19"/>
      <c r="B126" s="57" t="s">
        <v>111</v>
      </c>
      <c r="C126" s="11">
        <f t="shared" si="21"/>
        <v>17304570.67</v>
      </c>
      <c r="D126" s="11">
        <f t="shared" ref="D126:Z126" si="43">D22+D74</f>
        <v>50672</v>
      </c>
      <c r="E126" s="11">
        <f t="shared" si="43"/>
        <v>3155608</v>
      </c>
      <c r="F126" s="11">
        <f t="shared" si="43"/>
        <v>3181453.69</v>
      </c>
      <c r="G126" s="11">
        <f t="shared" si="43"/>
        <v>512516.87</v>
      </c>
      <c r="H126" s="11">
        <f t="shared" si="43"/>
        <v>184656.27</v>
      </c>
      <c r="I126" s="11">
        <f t="shared" si="43"/>
        <v>234311.83</v>
      </c>
      <c r="J126" s="11">
        <f t="shared" si="43"/>
        <v>73121.25</v>
      </c>
      <c r="K126" s="11">
        <f t="shared" si="43"/>
        <v>205083.79</v>
      </c>
      <c r="L126" s="11">
        <f t="shared" si="43"/>
        <v>937639.35</v>
      </c>
      <c r="M126" s="11">
        <f t="shared" si="43"/>
        <v>115429.51</v>
      </c>
      <c r="N126" s="11">
        <f t="shared" si="43"/>
        <v>130151.12</v>
      </c>
      <c r="O126" s="11">
        <f t="shared" si="43"/>
        <v>137435.14</v>
      </c>
      <c r="P126" s="11">
        <f t="shared" si="43"/>
        <v>146228.64</v>
      </c>
      <c r="Q126" s="11">
        <f t="shared" si="43"/>
        <v>225712.81</v>
      </c>
      <c r="R126" s="11">
        <f t="shared" si="43"/>
        <v>182682.13</v>
      </c>
      <c r="S126" s="11">
        <f t="shared" si="43"/>
        <v>174468.59</v>
      </c>
      <c r="T126" s="11">
        <f t="shared" si="43"/>
        <v>9466680.76</v>
      </c>
      <c r="U126" s="11">
        <f t="shared" si="43"/>
        <v>914649.77</v>
      </c>
      <c r="V126" s="11">
        <f t="shared" si="43"/>
        <v>5605644.49</v>
      </c>
      <c r="W126" s="11">
        <f t="shared" si="43"/>
        <v>1480325.55</v>
      </c>
      <c r="X126" s="11">
        <f t="shared" si="43"/>
        <v>330015.05</v>
      </c>
      <c r="Y126" s="11">
        <f t="shared" si="43"/>
        <v>918172.66</v>
      </c>
      <c r="Z126" s="11">
        <f t="shared" si="43"/>
        <v>108675.76</v>
      </c>
      <c r="AA126" s="11">
        <f t="shared" si="42"/>
        <v>109197.48</v>
      </c>
      <c r="AB126" s="11">
        <f t="shared" si="42"/>
        <v>531368.93</v>
      </c>
      <c r="AC126" s="11">
        <f t="shared" si="42"/>
        <v>81952.88</v>
      </c>
    </row>
    <row r="127" spans="1:29">
      <c r="A127" s="19"/>
      <c r="B127" s="57" t="s">
        <v>112</v>
      </c>
      <c r="C127" s="11">
        <f t="shared" si="21"/>
        <v>5445154.72</v>
      </c>
      <c r="D127" s="11">
        <f t="shared" ref="D127:Z127" si="44">D23+D75</f>
        <v>0</v>
      </c>
      <c r="E127" s="11">
        <f t="shared" si="44"/>
        <v>1767190.07</v>
      </c>
      <c r="F127" s="11">
        <f t="shared" si="44"/>
        <v>2329913.85</v>
      </c>
      <c r="G127" s="11">
        <f t="shared" si="44"/>
        <v>113046.76</v>
      </c>
      <c r="H127" s="11">
        <f t="shared" si="44"/>
        <v>112239.65</v>
      </c>
      <c r="I127" s="11">
        <f t="shared" si="44"/>
        <v>95208.26</v>
      </c>
      <c r="J127" s="11">
        <f t="shared" si="44"/>
        <v>7837.3</v>
      </c>
      <c r="K127" s="11">
        <f t="shared" si="44"/>
        <v>10001.2</v>
      </c>
      <c r="L127" s="11">
        <f t="shared" si="44"/>
        <v>82600.36</v>
      </c>
      <c r="M127" s="11">
        <f t="shared" si="44"/>
        <v>7721.7</v>
      </c>
      <c r="N127" s="11">
        <f t="shared" si="44"/>
        <v>13853.79</v>
      </c>
      <c r="O127" s="11">
        <f t="shared" si="44"/>
        <v>7422.19</v>
      </c>
      <c r="P127" s="11">
        <f t="shared" si="44"/>
        <v>17914.93</v>
      </c>
      <c r="Q127" s="11">
        <f t="shared" si="44"/>
        <v>9764.87</v>
      </c>
      <c r="R127" s="11">
        <f t="shared" si="44"/>
        <v>25922.88</v>
      </c>
      <c r="S127" s="11">
        <f t="shared" si="44"/>
        <v>5058.6</v>
      </c>
      <c r="T127" s="11">
        <f t="shared" si="44"/>
        <v>1152403.68</v>
      </c>
      <c r="U127" s="11">
        <f t="shared" si="44"/>
        <v>139099.41</v>
      </c>
      <c r="V127" s="11">
        <f t="shared" si="44"/>
        <v>709392</v>
      </c>
      <c r="W127" s="11">
        <f t="shared" si="44"/>
        <v>245659.2</v>
      </c>
      <c r="X127" s="11">
        <f t="shared" si="44"/>
        <v>33136.58</v>
      </c>
      <c r="Y127" s="11">
        <f t="shared" si="44"/>
        <v>23946.09</v>
      </c>
      <c r="Z127" s="11">
        <f t="shared" si="44"/>
        <v>1170.4</v>
      </c>
      <c r="AA127" s="11">
        <f t="shared" si="42"/>
        <v>0</v>
      </c>
      <c r="AB127" s="11">
        <f t="shared" si="42"/>
        <v>98927.42</v>
      </c>
      <c r="AC127" s="11">
        <f t="shared" si="42"/>
        <v>42975.75</v>
      </c>
    </row>
    <row r="128" spans="1:29">
      <c r="A128" s="19"/>
      <c r="B128" s="57" t="s">
        <v>113</v>
      </c>
      <c r="C128" s="11">
        <f t="shared" si="21"/>
        <v>2484628.05</v>
      </c>
      <c r="D128" s="11">
        <f t="shared" ref="D128:Z128" si="45">D24+D76</f>
        <v>0</v>
      </c>
      <c r="E128" s="11">
        <f t="shared" si="45"/>
        <v>597556.57</v>
      </c>
      <c r="F128" s="11">
        <f t="shared" si="45"/>
        <v>1317991.01</v>
      </c>
      <c r="G128" s="11">
        <f t="shared" si="45"/>
        <v>24094.14</v>
      </c>
      <c r="H128" s="11">
        <f t="shared" si="45"/>
        <v>59996.33</v>
      </c>
      <c r="I128" s="11">
        <f t="shared" si="45"/>
        <v>13115.89</v>
      </c>
      <c r="J128" s="11">
        <f t="shared" si="45"/>
        <v>6152.23</v>
      </c>
      <c r="K128" s="11">
        <f t="shared" si="45"/>
        <v>4826.02</v>
      </c>
      <c r="L128" s="11">
        <f t="shared" si="45"/>
        <v>16941.14</v>
      </c>
      <c r="M128" s="11">
        <f t="shared" si="45"/>
        <v>2466.31</v>
      </c>
      <c r="N128" s="11">
        <f t="shared" si="45"/>
        <v>4265.32</v>
      </c>
      <c r="O128" s="11">
        <f t="shared" si="45"/>
        <v>2466.32</v>
      </c>
      <c r="P128" s="11">
        <f t="shared" si="45"/>
        <v>717.45</v>
      </c>
      <c r="Q128" s="11">
        <f t="shared" si="45"/>
        <v>719.76</v>
      </c>
      <c r="R128" s="11">
        <f t="shared" si="45"/>
        <v>6305.98</v>
      </c>
      <c r="S128" s="11">
        <f t="shared" si="45"/>
        <v>7677.36</v>
      </c>
      <c r="T128" s="11">
        <f t="shared" si="45"/>
        <v>528045.19</v>
      </c>
      <c r="U128" s="11">
        <f t="shared" si="45"/>
        <v>44869.64</v>
      </c>
      <c r="V128" s="11">
        <f t="shared" si="45"/>
        <v>331033.37</v>
      </c>
      <c r="W128" s="11">
        <f t="shared" si="45"/>
        <v>140366.23</v>
      </c>
      <c r="X128" s="11">
        <f t="shared" si="45"/>
        <v>10407.95</v>
      </c>
      <c r="Y128" s="11">
        <f t="shared" si="45"/>
        <v>1368</v>
      </c>
      <c r="Z128" s="11">
        <f t="shared" si="45"/>
        <v>0</v>
      </c>
      <c r="AA128" s="11">
        <f t="shared" si="42"/>
        <v>0</v>
      </c>
      <c r="AB128" s="11">
        <f t="shared" si="42"/>
        <v>43208.91</v>
      </c>
      <c r="AC128" s="11">
        <f t="shared" si="42"/>
        <v>28370.02</v>
      </c>
    </row>
    <row r="129" spans="1:29">
      <c r="A129" s="19"/>
      <c r="B129" s="57" t="s">
        <v>114</v>
      </c>
      <c r="C129" s="11">
        <f t="shared" si="21"/>
        <v>5518750.13</v>
      </c>
      <c r="D129" s="11">
        <f t="shared" ref="D129:Z129" si="46">D25+D77</f>
        <v>0</v>
      </c>
      <c r="E129" s="11">
        <f t="shared" si="46"/>
        <v>2732392.1</v>
      </c>
      <c r="F129" s="11">
        <f t="shared" si="46"/>
        <v>2785339.16</v>
      </c>
      <c r="G129" s="11">
        <f t="shared" si="46"/>
        <v>0</v>
      </c>
      <c r="H129" s="11">
        <f t="shared" si="46"/>
        <v>120.76</v>
      </c>
      <c r="I129" s="11">
        <f t="shared" si="46"/>
        <v>0</v>
      </c>
      <c r="J129" s="11">
        <f t="shared" si="46"/>
        <v>0</v>
      </c>
      <c r="K129" s="11">
        <f t="shared" si="46"/>
        <v>0</v>
      </c>
      <c r="L129" s="11">
        <f t="shared" si="46"/>
        <v>7.55</v>
      </c>
      <c r="M129" s="11">
        <f t="shared" si="46"/>
        <v>0</v>
      </c>
      <c r="N129" s="11">
        <f t="shared" si="46"/>
        <v>0</v>
      </c>
      <c r="O129" s="11">
        <f t="shared" si="46"/>
        <v>0</v>
      </c>
      <c r="P129" s="11">
        <f t="shared" si="46"/>
        <v>7.55</v>
      </c>
      <c r="Q129" s="11">
        <f t="shared" si="46"/>
        <v>0</v>
      </c>
      <c r="R129" s="11">
        <f t="shared" si="46"/>
        <v>0</v>
      </c>
      <c r="S129" s="11">
        <f t="shared" si="46"/>
        <v>1132.08</v>
      </c>
      <c r="T129" s="11">
        <f t="shared" si="46"/>
        <v>1011.32</v>
      </c>
      <c r="U129" s="11">
        <f t="shared" si="46"/>
        <v>271.7</v>
      </c>
      <c r="V129" s="11">
        <f t="shared" si="46"/>
        <v>384.91</v>
      </c>
      <c r="W129" s="11">
        <f t="shared" si="46"/>
        <v>286.79</v>
      </c>
      <c r="X129" s="11">
        <f t="shared" si="46"/>
        <v>67.92</v>
      </c>
      <c r="Y129" s="11">
        <f t="shared" si="46"/>
        <v>0</v>
      </c>
      <c r="Z129" s="11">
        <f t="shared" si="46"/>
        <v>0</v>
      </c>
      <c r="AA129" s="11">
        <f t="shared" si="42"/>
        <v>0</v>
      </c>
      <c r="AB129" s="11">
        <f t="shared" si="42"/>
        <v>113.21</v>
      </c>
      <c r="AC129" s="11">
        <f t="shared" si="42"/>
        <v>1160.75</v>
      </c>
    </row>
    <row r="130" spans="1:29">
      <c r="A130" s="19"/>
      <c r="B130" s="57" t="s">
        <v>115</v>
      </c>
      <c r="C130" s="11">
        <f t="shared" si="21"/>
        <v>5276122.38</v>
      </c>
      <c r="D130" s="11">
        <f t="shared" ref="D130:Z130" si="47">D26+D78</f>
        <v>815533.98</v>
      </c>
      <c r="E130" s="11">
        <f t="shared" si="47"/>
        <v>1144431.19</v>
      </c>
      <c r="F130" s="11">
        <f t="shared" si="47"/>
        <v>2238214.02</v>
      </c>
      <c r="G130" s="11">
        <f t="shared" si="47"/>
        <v>549528.31</v>
      </c>
      <c r="H130" s="11">
        <f t="shared" si="47"/>
        <v>14592</v>
      </c>
      <c r="I130" s="11">
        <f t="shared" si="47"/>
        <v>275724.08</v>
      </c>
      <c r="J130" s="11">
        <f t="shared" si="47"/>
        <v>0</v>
      </c>
      <c r="K130" s="11">
        <f t="shared" si="47"/>
        <v>273804.23</v>
      </c>
      <c r="L130" s="11">
        <f t="shared" si="47"/>
        <v>295209.68</v>
      </c>
      <c r="M130" s="11">
        <f t="shared" si="47"/>
        <v>98233.54</v>
      </c>
      <c r="N130" s="11">
        <f t="shared" si="47"/>
        <v>51063.74</v>
      </c>
      <c r="O130" s="11">
        <f t="shared" si="47"/>
        <v>21879.74</v>
      </c>
      <c r="P130" s="11">
        <f t="shared" si="47"/>
        <v>91553.87</v>
      </c>
      <c r="Q130" s="11">
        <f t="shared" si="47"/>
        <v>24126.19</v>
      </c>
      <c r="R130" s="11">
        <f t="shared" si="47"/>
        <v>8352.6</v>
      </c>
      <c r="S130" s="11">
        <f t="shared" si="47"/>
        <v>7296</v>
      </c>
      <c r="T130" s="11">
        <f t="shared" si="47"/>
        <v>233205.2</v>
      </c>
      <c r="U130" s="11">
        <f t="shared" si="47"/>
        <v>204021.2</v>
      </c>
      <c r="V130" s="11">
        <f t="shared" si="47"/>
        <v>14592</v>
      </c>
      <c r="W130" s="11">
        <f t="shared" si="47"/>
        <v>14592</v>
      </c>
      <c r="X130" s="11">
        <f t="shared" si="47"/>
        <v>0</v>
      </c>
      <c r="Y130" s="11">
        <f t="shared" si="47"/>
        <v>0</v>
      </c>
      <c r="Z130" s="11">
        <f t="shared" si="47"/>
        <v>0</v>
      </c>
      <c r="AA130" s="11">
        <f t="shared" si="42"/>
        <v>0</v>
      </c>
      <c r="AB130" s="11">
        <f t="shared" si="42"/>
        <v>14592</v>
      </c>
      <c r="AC130" s="11">
        <f t="shared" si="42"/>
        <v>0</v>
      </c>
    </row>
    <row r="131" spans="1:29">
      <c r="A131" s="19"/>
      <c r="B131" s="57" t="s">
        <v>116</v>
      </c>
      <c r="C131" s="11">
        <f t="shared" si="21"/>
        <v>3147810.66</v>
      </c>
      <c r="D131" s="11">
        <f t="shared" ref="D131:Z131" si="48">D27+D79</f>
        <v>0</v>
      </c>
      <c r="E131" s="11">
        <f t="shared" si="48"/>
        <v>1420789.44</v>
      </c>
      <c r="F131" s="11">
        <f t="shared" si="48"/>
        <v>1120398.97</v>
      </c>
      <c r="G131" s="11">
        <f t="shared" si="48"/>
        <v>66574.18</v>
      </c>
      <c r="H131" s="11">
        <f t="shared" si="48"/>
        <v>0</v>
      </c>
      <c r="I131" s="11">
        <f t="shared" si="48"/>
        <v>0</v>
      </c>
      <c r="J131" s="11">
        <f t="shared" si="48"/>
        <v>66574.18</v>
      </c>
      <c r="K131" s="11">
        <f t="shared" si="48"/>
        <v>0</v>
      </c>
      <c r="L131" s="11">
        <f t="shared" si="48"/>
        <v>225473.93</v>
      </c>
      <c r="M131" s="11">
        <f t="shared" si="48"/>
        <v>69995.47</v>
      </c>
      <c r="N131" s="11">
        <f t="shared" si="48"/>
        <v>86304.28</v>
      </c>
      <c r="O131" s="11">
        <f t="shared" si="48"/>
        <v>69174.18</v>
      </c>
      <c r="P131" s="11">
        <f t="shared" si="48"/>
        <v>0</v>
      </c>
      <c r="Q131" s="11">
        <f t="shared" si="48"/>
        <v>0</v>
      </c>
      <c r="R131" s="11">
        <f t="shared" si="48"/>
        <v>0</v>
      </c>
      <c r="S131" s="11">
        <f t="shared" si="48"/>
        <v>0</v>
      </c>
      <c r="T131" s="11">
        <f t="shared" si="48"/>
        <v>314574.14</v>
      </c>
      <c r="U131" s="11">
        <f t="shared" si="48"/>
        <v>56942.35</v>
      </c>
      <c r="V131" s="11">
        <f t="shared" si="48"/>
        <v>178079.36</v>
      </c>
      <c r="W131" s="11">
        <f t="shared" si="48"/>
        <v>65316.84</v>
      </c>
      <c r="X131" s="11">
        <f t="shared" si="48"/>
        <v>14235.59</v>
      </c>
      <c r="Y131" s="11">
        <f t="shared" si="48"/>
        <v>0</v>
      </c>
      <c r="Z131" s="11">
        <f t="shared" si="48"/>
        <v>0</v>
      </c>
      <c r="AA131" s="11">
        <f t="shared" si="42"/>
        <v>0</v>
      </c>
      <c r="AB131" s="11">
        <f t="shared" si="42"/>
        <v>34773.51</v>
      </c>
      <c r="AC131" s="11">
        <f t="shared" si="42"/>
        <v>37294.42</v>
      </c>
    </row>
    <row r="132" spans="1:29">
      <c r="A132" s="19"/>
      <c r="B132" s="57" t="s">
        <v>117</v>
      </c>
      <c r="C132" s="11">
        <f t="shared" si="21"/>
        <v>1090342.72</v>
      </c>
      <c r="D132" s="11">
        <f t="shared" ref="D132:Z132" si="49">D28+D80</f>
        <v>0</v>
      </c>
      <c r="E132" s="11">
        <f t="shared" si="49"/>
        <v>213922.84</v>
      </c>
      <c r="F132" s="11">
        <f t="shared" si="49"/>
        <v>532972.38</v>
      </c>
      <c r="G132" s="11">
        <f t="shared" si="49"/>
        <v>4949.58</v>
      </c>
      <c r="H132" s="11">
        <f t="shared" si="49"/>
        <v>26396</v>
      </c>
      <c r="I132" s="11">
        <f t="shared" si="49"/>
        <v>1747.58</v>
      </c>
      <c r="J132" s="11">
        <f t="shared" si="49"/>
        <v>453</v>
      </c>
      <c r="K132" s="11">
        <f t="shared" si="49"/>
        <v>2749</v>
      </c>
      <c r="L132" s="11">
        <f t="shared" si="49"/>
        <v>11052.08</v>
      </c>
      <c r="M132" s="11">
        <f t="shared" si="49"/>
        <v>1694.34</v>
      </c>
      <c r="N132" s="11">
        <f t="shared" si="49"/>
        <v>2460.33</v>
      </c>
      <c r="O132" s="11">
        <f t="shared" si="49"/>
        <v>1563.33</v>
      </c>
      <c r="P132" s="11">
        <f t="shared" si="49"/>
        <v>2305.08</v>
      </c>
      <c r="Q132" s="11">
        <f t="shared" si="49"/>
        <v>1643</v>
      </c>
      <c r="R132" s="11">
        <f t="shared" si="49"/>
        <v>1386</v>
      </c>
      <c r="S132" s="11">
        <f t="shared" si="49"/>
        <v>7562.41</v>
      </c>
      <c r="T132" s="11">
        <f t="shared" si="49"/>
        <v>327445.84</v>
      </c>
      <c r="U132" s="11">
        <f t="shared" si="49"/>
        <v>14943.02</v>
      </c>
      <c r="V132" s="11">
        <f t="shared" si="49"/>
        <v>238294.78</v>
      </c>
      <c r="W132" s="11">
        <f t="shared" si="49"/>
        <v>59150.63</v>
      </c>
      <c r="X132" s="11">
        <f t="shared" si="49"/>
        <v>3823.2</v>
      </c>
      <c r="Y132" s="11">
        <f t="shared" si="49"/>
        <v>8896.96</v>
      </c>
      <c r="Z132" s="11">
        <f t="shared" si="49"/>
        <v>2337.25</v>
      </c>
      <c r="AA132" s="11">
        <f t="shared" si="42"/>
        <v>0</v>
      </c>
      <c r="AB132" s="11">
        <f t="shared" si="42"/>
        <v>34757.28</v>
      </c>
      <c r="AC132" s="11">
        <f t="shared" si="42"/>
        <v>1799.75</v>
      </c>
    </row>
    <row r="133" spans="1:29">
      <c r="A133" s="19"/>
      <c r="B133" s="57" t="s">
        <v>118</v>
      </c>
      <c r="C133" s="11">
        <f t="shared" si="21"/>
        <v>391609.47</v>
      </c>
      <c r="D133" s="11">
        <f t="shared" ref="D133:Z133" si="50">D29+D81</f>
        <v>0</v>
      </c>
      <c r="E133" s="11">
        <f t="shared" si="50"/>
        <v>87730.79</v>
      </c>
      <c r="F133" s="11">
        <f t="shared" si="50"/>
        <v>280644.78</v>
      </c>
      <c r="G133" s="11">
        <f t="shared" si="50"/>
        <v>3180.69</v>
      </c>
      <c r="H133" s="11">
        <f t="shared" si="50"/>
        <v>1705.25</v>
      </c>
      <c r="I133" s="11">
        <f t="shared" si="50"/>
        <v>1315.65</v>
      </c>
      <c r="J133" s="11">
        <f t="shared" si="50"/>
        <v>798</v>
      </c>
      <c r="K133" s="11">
        <f t="shared" si="50"/>
        <v>1067.04</v>
      </c>
      <c r="L133" s="11">
        <f t="shared" si="50"/>
        <v>8733.85</v>
      </c>
      <c r="M133" s="11">
        <f t="shared" si="50"/>
        <v>818.66</v>
      </c>
      <c r="N133" s="11">
        <f t="shared" si="50"/>
        <v>317.17</v>
      </c>
      <c r="O133" s="11">
        <f t="shared" si="50"/>
        <v>870.67</v>
      </c>
      <c r="P133" s="11">
        <f t="shared" si="50"/>
        <v>3566.8</v>
      </c>
      <c r="Q133" s="11">
        <f t="shared" si="50"/>
        <v>1900.15</v>
      </c>
      <c r="R133" s="11">
        <f t="shared" si="50"/>
        <v>1260.4</v>
      </c>
      <c r="S133" s="11">
        <f t="shared" si="50"/>
        <v>6676.6</v>
      </c>
      <c r="T133" s="11">
        <f t="shared" si="50"/>
        <v>11319.36</v>
      </c>
      <c r="U133" s="11">
        <f t="shared" si="50"/>
        <v>862.52</v>
      </c>
      <c r="V133" s="11">
        <f t="shared" si="50"/>
        <v>4339</v>
      </c>
      <c r="W133" s="11">
        <f t="shared" si="50"/>
        <v>2512.82</v>
      </c>
      <c r="X133" s="11">
        <f t="shared" si="50"/>
        <v>1130.63</v>
      </c>
      <c r="Y133" s="11">
        <f t="shared" si="50"/>
        <v>2474.39</v>
      </c>
      <c r="Z133" s="11">
        <f t="shared" si="50"/>
        <v>0</v>
      </c>
      <c r="AA133" s="11">
        <f t="shared" si="42"/>
        <v>0</v>
      </c>
      <c r="AB133" s="11">
        <f t="shared" si="42"/>
        <v>2464</v>
      </c>
      <c r="AC133" s="11">
        <f t="shared" si="42"/>
        <v>6242.5</v>
      </c>
    </row>
    <row r="134" spans="1:29">
      <c r="A134" s="19"/>
      <c r="B134" s="57" t="s">
        <v>119</v>
      </c>
      <c r="C134" s="11">
        <f t="shared" si="21"/>
        <v>999319.46</v>
      </c>
      <c r="D134" s="11">
        <f t="shared" ref="D134:Z134" si="51">D30+D82</f>
        <v>0</v>
      </c>
      <c r="E134" s="11">
        <f t="shared" si="51"/>
        <v>283921.42</v>
      </c>
      <c r="F134" s="11">
        <f t="shared" si="51"/>
        <v>359974.13</v>
      </c>
      <c r="G134" s="11">
        <f t="shared" si="51"/>
        <v>39970.13</v>
      </c>
      <c r="H134" s="11">
        <f t="shared" si="51"/>
        <v>26469.26</v>
      </c>
      <c r="I134" s="11">
        <f t="shared" si="51"/>
        <v>5229.15</v>
      </c>
      <c r="J134" s="11">
        <f t="shared" si="51"/>
        <v>3121.03</v>
      </c>
      <c r="K134" s="11">
        <f t="shared" si="51"/>
        <v>31619.95</v>
      </c>
      <c r="L134" s="11">
        <f t="shared" si="51"/>
        <v>60930.43</v>
      </c>
      <c r="M134" s="11">
        <f t="shared" si="51"/>
        <v>3097.41</v>
      </c>
      <c r="N134" s="11">
        <f t="shared" si="51"/>
        <v>4979.8</v>
      </c>
      <c r="O134" s="11">
        <f t="shared" si="51"/>
        <v>4172.91</v>
      </c>
      <c r="P134" s="11">
        <f t="shared" si="51"/>
        <v>4085.61</v>
      </c>
      <c r="Q134" s="11">
        <f t="shared" si="51"/>
        <v>7968.74</v>
      </c>
      <c r="R134" s="11">
        <f t="shared" si="51"/>
        <v>36625.96</v>
      </c>
      <c r="S134" s="11">
        <f t="shared" si="51"/>
        <v>11334.26</v>
      </c>
      <c r="T134" s="11">
        <f t="shared" si="51"/>
        <v>254523.35</v>
      </c>
      <c r="U134" s="11">
        <f t="shared" si="51"/>
        <v>74748.12</v>
      </c>
      <c r="V134" s="11">
        <f t="shared" si="51"/>
        <v>71192.67</v>
      </c>
      <c r="W134" s="11">
        <f t="shared" si="51"/>
        <v>60831.99</v>
      </c>
      <c r="X134" s="11">
        <f t="shared" si="51"/>
        <v>27350.46</v>
      </c>
      <c r="Y134" s="11">
        <f t="shared" si="51"/>
        <v>15182.11</v>
      </c>
      <c r="Z134" s="11">
        <f t="shared" si="51"/>
        <v>5218</v>
      </c>
      <c r="AA134" s="11">
        <f t="shared" si="42"/>
        <v>0</v>
      </c>
      <c r="AB134" s="11">
        <f t="shared" si="42"/>
        <v>14688.72</v>
      </c>
      <c r="AC134" s="11">
        <f t="shared" si="42"/>
        <v>4656.98</v>
      </c>
    </row>
    <row r="135" spans="1:29">
      <c r="A135" s="19"/>
      <c r="B135" s="57" t="s">
        <v>120</v>
      </c>
      <c r="C135" s="11">
        <f t="shared" si="21"/>
        <v>3652475.26</v>
      </c>
      <c r="D135" s="11">
        <f t="shared" ref="D135:Z135" si="52">D31+D83</f>
        <v>0</v>
      </c>
      <c r="E135" s="11">
        <f t="shared" si="52"/>
        <v>991786.29</v>
      </c>
      <c r="F135" s="11">
        <f t="shared" si="52"/>
        <v>2576320.77</v>
      </c>
      <c r="G135" s="11">
        <f t="shared" si="52"/>
        <v>45338.3</v>
      </c>
      <c r="H135" s="11">
        <f t="shared" si="52"/>
        <v>32369</v>
      </c>
      <c r="I135" s="11">
        <f t="shared" si="52"/>
        <v>35193</v>
      </c>
      <c r="J135" s="11">
        <f t="shared" si="52"/>
        <v>10145.3</v>
      </c>
      <c r="K135" s="11">
        <f t="shared" si="52"/>
        <v>0</v>
      </c>
      <c r="L135" s="11">
        <f t="shared" si="52"/>
        <v>33318.9</v>
      </c>
      <c r="M135" s="11">
        <f t="shared" si="52"/>
        <v>10145.3</v>
      </c>
      <c r="N135" s="11">
        <f t="shared" si="52"/>
        <v>13028.3</v>
      </c>
      <c r="O135" s="11">
        <f t="shared" si="52"/>
        <v>10145.3</v>
      </c>
      <c r="P135" s="11">
        <f t="shared" si="52"/>
        <v>0</v>
      </c>
      <c r="Q135" s="11">
        <f t="shared" si="52"/>
        <v>0</v>
      </c>
      <c r="R135" s="11">
        <f t="shared" si="52"/>
        <v>0</v>
      </c>
      <c r="S135" s="11">
        <f t="shared" si="52"/>
        <v>156086.89</v>
      </c>
      <c r="T135" s="11">
        <f t="shared" si="52"/>
        <v>5711</v>
      </c>
      <c r="U135" s="11">
        <f t="shared" si="52"/>
        <v>0</v>
      </c>
      <c r="V135" s="11">
        <f t="shared" si="52"/>
        <v>1857</v>
      </c>
      <c r="W135" s="11">
        <f t="shared" si="52"/>
        <v>3854</v>
      </c>
      <c r="X135" s="11">
        <f t="shared" si="52"/>
        <v>0</v>
      </c>
      <c r="Y135" s="11">
        <f t="shared" si="52"/>
        <v>0</v>
      </c>
      <c r="Z135" s="11">
        <f t="shared" si="52"/>
        <v>0</v>
      </c>
      <c r="AA135" s="11">
        <f t="shared" si="42"/>
        <v>0</v>
      </c>
      <c r="AB135" s="11">
        <f t="shared" si="42"/>
        <v>23165.68</v>
      </c>
      <c r="AC135" s="11">
        <f t="shared" si="42"/>
        <v>0</v>
      </c>
    </row>
    <row r="136" spans="1:29">
      <c r="A136" s="19"/>
      <c r="B136" s="57" t="s">
        <v>121</v>
      </c>
      <c r="C136" s="11">
        <f t="shared" si="21"/>
        <v>7043137.27</v>
      </c>
      <c r="D136" s="11">
        <f t="shared" ref="D136:Z136" si="53">D32+D84</f>
        <v>0</v>
      </c>
      <c r="E136" s="11">
        <f t="shared" si="53"/>
        <v>0</v>
      </c>
      <c r="F136" s="11">
        <f t="shared" si="53"/>
        <v>7043137.27</v>
      </c>
      <c r="G136" s="11">
        <f t="shared" si="53"/>
        <v>0</v>
      </c>
      <c r="H136" s="11">
        <f t="shared" si="53"/>
        <v>0</v>
      </c>
      <c r="I136" s="11">
        <f t="shared" si="53"/>
        <v>0</v>
      </c>
      <c r="J136" s="11">
        <f t="shared" si="53"/>
        <v>0</v>
      </c>
      <c r="K136" s="11">
        <f t="shared" si="53"/>
        <v>0</v>
      </c>
      <c r="L136" s="11">
        <f t="shared" si="53"/>
        <v>0</v>
      </c>
      <c r="M136" s="11">
        <f t="shared" si="53"/>
        <v>0</v>
      </c>
      <c r="N136" s="11">
        <f t="shared" si="53"/>
        <v>0</v>
      </c>
      <c r="O136" s="11">
        <f t="shared" si="53"/>
        <v>0</v>
      </c>
      <c r="P136" s="11">
        <f t="shared" si="53"/>
        <v>0</v>
      </c>
      <c r="Q136" s="11">
        <f t="shared" si="53"/>
        <v>0</v>
      </c>
      <c r="R136" s="11">
        <f t="shared" si="53"/>
        <v>0</v>
      </c>
      <c r="S136" s="11">
        <f t="shared" si="53"/>
        <v>0</v>
      </c>
      <c r="T136" s="11">
        <f t="shared" si="53"/>
        <v>0</v>
      </c>
      <c r="U136" s="11">
        <f t="shared" si="53"/>
        <v>0</v>
      </c>
      <c r="V136" s="11">
        <f t="shared" si="53"/>
        <v>0</v>
      </c>
      <c r="W136" s="11">
        <f t="shared" si="53"/>
        <v>0</v>
      </c>
      <c r="X136" s="11">
        <f t="shared" si="53"/>
        <v>0</v>
      </c>
      <c r="Y136" s="11">
        <f t="shared" si="53"/>
        <v>0</v>
      </c>
      <c r="Z136" s="11">
        <f t="shared" si="53"/>
        <v>0</v>
      </c>
      <c r="AA136" s="11">
        <f t="shared" si="42"/>
        <v>0</v>
      </c>
      <c r="AB136" s="11">
        <f t="shared" si="42"/>
        <v>0</v>
      </c>
      <c r="AC136" s="11">
        <f t="shared" si="42"/>
        <v>0</v>
      </c>
    </row>
    <row r="137" spans="1:29">
      <c r="A137" s="19"/>
      <c r="B137" s="57" t="s">
        <v>122</v>
      </c>
      <c r="C137" s="11">
        <f t="shared" si="21"/>
        <v>126112.92</v>
      </c>
      <c r="D137" s="11">
        <f t="shared" ref="D137:Z137" si="54">D33+D85</f>
        <v>0</v>
      </c>
      <c r="E137" s="11">
        <f t="shared" si="54"/>
        <v>66055.72</v>
      </c>
      <c r="F137" s="11">
        <f t="shared" si="54"/>
        <v>60057.2</v>
      </c>
      <c r="G137" s="11">
        <f t="shared" si="54"/>
        <v>0</v>
      </c>
      <c r="H137" s="11">
        <f t="shared" si="54"/>
        <v>0</v>
      </c>
      <c r="I137" s="11">
        <f t="shared" si="54"/>
        <v>0</v>
      </c>
      <c r="J137" s="11">
        <f t="shared" si="54"/>
        <v>0</v>
      </c>
      <c r="K137" s="11">
        <f t="shared" si="54"/>
        <v>0</v>
      </c>
      <c r="L137" s="11">
        <f t="shared" si="54"/>
        <v>0</v>
      </c>
      <c r="M137" s="11">
        <f t="shared" si="54"/>
        <v>0</v>
      </c>
      <c r="N137" s="11">
        <f t="shared" si="54"/>
        <v>0</v>
      </c>
      <c r="O137" s="11">
        <f t="shared" si="54"/>
        <v>0</v>
      </c>
      <c r="P137" s="11">
        <f t="shared" si="54"/>
        <v>0</v>
      </c>
      <c r="Q137" s="11">
        <f t="shared" si="54"/>
        <v>0</v>
      </c>
      <c r="R137" s="11">
        <f t="shared" si="54"/>
        <v>0</v>
      </c>
      <c r="S137" s="11">
        <f t="shared" si="54"/>
        <v>400</v>
      </c>
      <c r="T137" s="11">
        <f t="shared" si="54"/>
        <v>0</v>
      </c>
      <c r="U137" s="11">
        <f t="shared" si="54"/>
        <v>0</v>
      </c>
      <c r="V137" s="11">
        <f t="shared" si="54"/>
        <v>0</v>
      </c>
      <c r="W137" s="11">
        <f t="shared" si="54"/>
        <v>0</v>
      </c>
      <c r="X137" s="11">
        <f t="shared" si="54"/>
        <v>0</v>
      </c>
      <c r="Y137" s="11">
        <f t="shared" si="54"/>
        <v>0</v>
      </c>
      <c r="Z137" s="11">
        <f t="shared" si="54"/>
        <v>0</v>
      </c>
      <c r="AA137" s="11">
        <f t="shared" si="42"/>
        <v>0</v>
      </c>
      <c r="AB137" s="11">
        <f t="shared" si="42"/>
        <v>0</v>
      </c>
      <c r="AC137" s="11">
        <f t="shared" si="42"/>
        <v>65655.72</v>
      </c>
    </row>
    <row r="138" spans="1:29">
      <c r="A138" s="20"/>
      <c r="B138" s="69" t="s">
        <v>102</v>
      </c>
      <c r="C138" s="306">
        <f t="shared" si="21"/>
        <v>80727218.97</v>
      </c>
      <c r="D138" s="306">
        <f t="shared" ref="D138:U138" si="55">SUM(D125:D137)</f>
        <v>871387.98</v>
      </c>
      <c r="E138" s="306">
        <f t="shared" si="55"/>
        <v>15943460.61</v>
      </c>
      <c r="F138" s="306">
        <f t="shared" si="55"/>
        <v>37460868.95</v>
      </c>
      <c r="G138" s="306">
        <f t="shared" si="55"/>
        <v>2214536.86</v>
      </c>
      <c r="H138" s="306">
        <f t="shared" si="55"/>
        <v>830704.18</v>
      </c>
      <c r="I138" s="306">
        <f t="shared" si="55"/>
        <v>1101776.52</v>
      </c>
      <c r="J138" s="306">
        <f t="shared" si="55"/>
        <v>277815.1</v>
      </c>
      <c r="K138" s="306">
        <f t="shared" si="55"/>
        <v>834945.24</v>
      </c>
      <c r="L138" s="306">
        <f t="shared" si="55"/>
        <v>2831888.8</v>
      </c>
      <c r="M138" s="306">
        <f t="shared" si="55"/>
        <v>452596.89</v>
      </c>
      <c r="N138" s="306">
        <f t="shared" si="55"/>
        <v>490831.62</v>
      </c>
      <c r="O138" s="306">
        <f t="shared" si="55"/>
        <v>423442.93</v>
      </c>
      <c r="P138" s="306">
        <f t="shared" si="55"/>
        <v>533836.12</v>
      </c>
      <c r="Q138" s="306">
        <f t="shared" si="55"/>
        <v>463020.45</v>
      </c>
      <c r="R138" s="306">
        <f t="shared" si="55"/>
        <v>468160.79</v>
      </c>
      <c r="S138" s="306">
        <f t="shared" si="55"/>
        <v>576044.7</v>
      </c>
      <c r="T138" s="306">
        <f t="shared" si="55"/>
        <v>21405075.77</v>
      </c>
      <c r="U138" s="306">
        <f t="shared" si="55"/>
        <v>2263712.16</v>
      </c>
      <c r="V138" s="306">
        <f t="shared" ref="V138:AC138" si="56">SUM(V125:V137)</f>
        <v>13105838.84</v>
      </c>
      <c r="W138" s="306">
        <f t="shared" si="56"/>
        <v>3596580.02</v>
      </c>
      <c r="X138" s="306">
        <f t="shared" si="56"/>
        <v>730174.76</v>
      </c>
      <c r="Y138" s="306">
        <f t="shared" si="56"/>
        <v>1391766.87</v>
      </c>
      <c r="Z138" s="306">
        <f t="shared" si="56"/>
        <v>152659.97</v>
      </c>
      <c r="AA138" s="306">
        <f t="shared" si="56"/>
        <v>164343.15</v>
      </c>
      <c r="AB138" s="306">
        <f t="shared" si="56"/>
        <v>1170792.69</v>
      </c>
      <c r="AC138" s="306">
        <f t="shared" si="56"/>
        <v>480166.06</v>
      </c>
    </row>
    <row r="139" customHeight="1" spans="1:29">
      <c r="A139" s="18" t="s">
        <v>123</v>
      </c>
      <c r="B139" s="57" t="s">
        <v>124</v>
      </c>
      <c r="C139" s="11">
        <f t="shared" si="21"/>
        <v>4213575.85</v>
      </c>
      <c r="D139" s="11">
        <f t="shared" ref="D139:Z139" si="57">D35+D87</f>
        <v>0</v>
      </c>
      <c r="E139" s="11">
        <f t="shared" si="57"/>
        <v>1161366.53</v>
      </c>
      <c r="F139" s="11">
        <f t="shared" si="57"/>
        <v>2791857.91</v>
      </c>
      <c r="G139" s="11">
        <f t="shared" si="57"/>
        <v>45906.83</v>
      </c>
      <c r="H139" s="11">
        <f t="shared" si="57"/>
        <v>0</v>
      </c>
      <c r="I139" s="11">
        <f t="shared" si="57"/>
        <v>0</v>
      </c>
      <c r="J139" s="11">
        <f t="shared" si="57"/>
        <v>19806.53</v>
      </c>
      <c r="K139" s="11">
        <f t="shared" si="57"/>
        <v>26100.3</v>
      </c>
      <c r="L139" s="11">
        <f t="shared" si="57"/>
        <v>137264.77</v>
      </c>
      <c r="M139" s="11">
        <f t="shared" si="57"/>
        <v>21696.54</v>
      </c>
      <c r="N139" s="11">
        <f t="shared" si="57"/>
        <v>21696.54</v>
      </c>
      <c r="O139" s="11">
        <f t="shared" si="57"/>
        <v>21696.54</v>
      </c>
      <c r="P139" s="11">
        <f t="shared" si="57"/>
        <v>25184.3</v>
      </c>
      <c r="Q139" s="11">
        <f t="shared" si="57"/>
        <v>21842.55</v>
      </c>
      <c r="R139" s="11">
        <f t="shared" si="57"/>
        <v>25148.3</v>
      </c>
      <c r="S139" s="11">
        <f t="shared" si="57"/>
        <v>36890.51</v>
      </c>
      <c r="T139" s="11">
        <f t="shared" si="57"/>
        <v>77179.81</v>
      </c>
      <c r="U139" s="11">
        <f t="shared" si="57"/>
        <v>0</v>
      </c>
      <c r="V139" s="11">
        <f t="shared" si="57"/>
        <v>47583.01</v>
      </c>
      <c r="W139" s="11">
        <f t="shared" si="57"/>
        <v>29596.8</v>
      </c>
      <c r="X139" s="11">
        <f t="shared" si="57"/>
        <v>0</v>
      </c>
      <c r="Y139" s="11">
        <f t="shared" si="57"/>
        <v>0</v>
      </c>
      <c r="Z139" s="11">
        <f t="shared" si="57"/>
        <v>0</v>
      </c>
      <c r="AA139" s="11">
        <f t="shared" ref="AA139:AC154" si="58">AA35+AA87</f>
        <v>0</v>
      </c>
      <c r="AB139" s="11">
        <f t="shared" si="58"/>
        <v>12751.19</v>
      </c>
      <c r="AC139" s="11">
        <f t="shared" si="58"/>
        <v>51273.86</v>
      </c>
    </row>
    <row r="140" spans="1:29">
      <c r="A140" s="19"/>
      <c r="B140" s="57" t="s">
        <v>125</v>
      </c>
      <c r="C140" s="11">
        <f t="shared" si="21"/>
        <v>4425359.6</v>
      </c>
      <c r="D140" s="11">
        <f t="shared" ref="D140:Z140" si="59">D36+D88</f>
        <v>0</v>
      </c>
      <c r="E140" s="11">
        <f t="shared" si="59"/>
        <v>1458104.26</v>
      </c>
      <c r="F140" s="11">
        <f t="shared" si="59"/>
        <v>2398998.36</v>
      </c>
      <c r="G140" s="11">
        <f t="shared" si="59"/>
        <v>98980.42</v>
      </c>
      <c r="H140" s="11">
        <f t="shared" si="59"/>
        <v>73236.07</v>
      </c>
      <c r="I140" s="11">
        <f t="shared" si="59"/>
        <v>34051.61</v>
      </c>
      <c r="J140" s="11">
        <f t="shared" si="59"/>
        <v>15351.61</v>
      </c>
      <c r="K140" s="11">
        <f t="shared" si="59"/>
        <v>49577.2</v>
      </c>
      <c r="L140" s="11">
        <f t="shared" si="59"/>
        <v>206647.86</v>
      </c>
      <c r="M140" s="11">
        <f t="shared" si="59"/>
        <v>32275.05</v>
      </c>
      <c r="N140" s="11">
        <f t="shared" si="59"/>
        <v>43609.99</v>
      </c>
      <c r="O140" s="11">
        <f t="shared" si="59"/>
        <v>30187.22</v>
      </c>
      <c r="P140" s="11">
        <f t="shared" si="59"/>
        <v>47849.48</v>
      </c>
      <c r="Q140" s="11">
        <f t="shared" si="59"/>
        <v>24218.21</v>
      </c>
      <c r="R140" s="11">
        <f t="shared" si="59"/>
        <v>28507.91</v>
      </c>
      <c r="S140" s="11">
        <f t="shared" si="59"/>
        <v>189879.43</v>
      </c>
      <c r="T140" s="11">
        <f t="shared" si="59"/>
        <v>262628.7</v>
      </c>
      <c r="U140" s="11">
        <f t="shared" si="59"/>
        <v>69424.73</v>
      </c>
      <c r="V140" s="11">
        <f t="shared" si="59"/>
        <v>106286.55</v>
      </c>
      <c r="W140" s="11">
        <f t="shared" si="59"/>
        <v>54995.16</v>
      </c>
      <c r="X140" s="11">
        <f t="shared" si="59"/>
        <v>24775.84</v>
      </c>
      <c r="Y140" s="11">
        <f t="shared" si="59"/>
        <v>5890.42</v>
      </c>
      <c r="Z140" s="11">
        <f t="shared" si="59"/>
        <v>1256</v>
      </c>
      <c r="AA140" s="11">
        <f t="shared" si="58"/>
        <v>0</v>
      </c>
      <c r="AB140" s="11">
        <f t="shared" si="58"/>
        <v>55239.33</v>
      </c>
      <c r="AC140" s="11">
        <f t="shared" si="58"/>
        <v>156408.11</v>
      </c>
    </row>
    <row r="141" spans="1:29">
      <c r="A141" s="19"/>
      <c r="B141" s="57" t="s">
        <v>126</v>
      </c>
      <c r="C141" s="11">
        <f t="shared" si="21"/>
        <v>2560215.42</v>
      </c>
      <c r="D141" s="11">
        <f t="shared" ref="D141:Z141" si="60">D37+D89</f>
        <v>0</v>
      </c>
      <c r="E141" s="11">
        <f t="shared" si="60"/>
        <v>2314657.62</v>
      </c>
      <c r="F141" s="11">
        <f t="shared" si="60"/>
        <v>0</v>
      </c>
      <c r="G141" s="11">
        <f t="shared" si="60"/>
        <v>0</v>
      </c>
      <c r="H141" s="11">
        <f t="shared" si="60"/>
        <v>0</v>
      </c>
      <c r="I141" s="11">
        <f t="shared" si="60"/>
        <v>0</v>
      </c>
      <c r="J141" s="11">
        <f t="shared" si="60"/>
        <v>0</v>
      </c>
      <c r="K141" s="11">
        <f t="shared" si="60"/>
        <v>0</v>
      </c>
      <c r="L141" s="11">
        <f t="shared" si="60"/>
        <v>0</v>
      </c>
      <c r="M141" s="11">
        <f t="shared" si="60"/>
        <v>0</v>
      </c>
      <c r="N141" s="11">
        <f t="shared" si="60"/>
        <v>0</v>
      </c>
      <c r="O141" s="11">
        <f t="shared" si="60"/>
        <v>0</v>
      </c>
      <c r="P141" s="11">
        <f t="shared" si="60"/>
        <v>0</v>
      </c>
      <c r="Q141" s="11">
        <f t="shared" si="60"/>
        <v>0</v>
      </c>
      <c r="R141" s="11">
        <f t="shared" si="60"/>
        <v>0</v>
      </c>
      <c r="S141" s="11">
        <f t="shared" si="60"/>
        <v>0</v>
      </c>
      <c r="T141" s="11">
        <f t="shared" si="60"/>
        <v>245557.8</v>
      </c>
      <c r="U141" s="11">
        <f t="shared" si="60"/>
        <v>0</v>
      </c>
      <c r="V141" s="11">
        <f t="shared" si="60"/>
        <v>245557.8</v>
      </c>
      <c r="W141" s="11">
        <f t="shared" si="60"/>
        <v>0</v>
      </c>
      <c r="X141" s="11">
        <f t="shared" si="60"/>
        <v>0</v>
      </c>
      <c r="Y141" s="11">
        <f t="shared" si="60"/>
        <v>0</v>
      </c>
      <c r="Z141" s="11">
        <f t="shared" si="60"/>
        <v>0</v>
      </c>
      <c r="AA141" s="11">
        <f t="shared" si="58"/>
        <v>0</v>
      </c>
      <c r="AB141" s="11">
        <f t="shared" si="58"/>
        <v>0</v>
      </c>
      <c r="AC141" s="11">
        <f t="shared" si="58"/>
        <v>0</v>
      </c>
    </row>
    <row r="142" spans="1:29">
      <c r="A142" s="19"/>
      <c r="B142" s="57" t="s">
        <v>127</v>
      </c>
      <c r="C142" s="11">
        <f t="shared" si="21"/>
        <v>2570238.35</v>
      </c>
      <c r="D142" s="11">
        <f t="shared" ref="D142:Z142" si="61">D38+D90</f>
        <v>0</v>
      </c>
      <c r="E142" s="11">
        <f t="shared" si="61"/>
        <v>379388.01</v>
      </c>
      <c r="F142" s="11">
        <f t="shared" si="61"/>
        <v>2086666.27</v>
      </c>
      <c r="G142" s="11">
        <f t="shared" si="61"/>
        <v>25512.85</v>
      </c>
      <c r="H142" s="11">
        <f t="shared" si="61"/>
        <v>0</v>
      </c>
      <c r="I142" s="11">
        <f t="shared" si="61"/>
        <v>0</v>
      </c>
      <c r="J142" s="11">
        <f t="shared" si="61"/>
        <v>10268.33</v>
      </c>
      <c r="K142" s="11">
        <f t="shared" si="61"/>
        <v>15244.52</v>
      </c>
      <c r="L142" s="11">
        <f t="shared" si="61"/>
        <v>78671.22</v>
      </c>
      <c r="M142" s="11">
        <f t="shared" si="61"/>
        <v>12045.55</v>
      </c>
      <c r="N142" s="11">
        <f t="shared" si="61"/>
        <v>12045.54</v>
      </c>
      <c r="O142" s="11">
        <f t="shared" si="61"/>
        <v>12045.54</v>
      </c>
      <c r="P142" s="11">
        <f t="shared" si="61"/>
        <v>15244.52</v>
      </c>
      <c r="Q142" s="11">
        <f t="shared" si="61"/>
        <v>12045.55</v>
      </c>
      <c r="R142" s="11">
        <f t="shared" si="61"/>
        <v>15244.52</v>
      </c>
      <c r="S142" s="11">
        <f t="shared" si="61"/>
        <v>15244.48</v>
      </c>
      <c r="T142" s="11">
        <f t="shared" si="61"/>
        <v>0</v>
      </c>
      <c r="U142" s="11">
        <f t="shared" si="61"/>
        <v>0</v>
      </c>
      <c r="V142" s="11">
        <f t="shared" si="61"/>
        <v>0</v>
      </c>
      <c r="W142" s="11">
        <f t="shared" si="61"/>
        <v>0</v>
      </c>
      <c r="X142" s="11">
        <f t="shared" si="61"/>
        <v>0</v>
      </c>
      <c r="Y142" s="11">
        <f t="shared" si="61"/>
        <v>0</v>
      </c>
      <c r="Z142" s="11">
        <f t="shared" si="61"/>
        <v>0</v>
      </c>
      <c r="AA142" s="11">
        <f t="shared" si="58"/>
        <v>0</v>
      </c>
      <c r="AB142" s="11">
        <f t="shared" si="58"/>
        <v>0</v>
      </c>
      <c r="AC142" s="11">
        <f t="shared" si="58"/>
        <v>20216.43</v>
      </c>
    </row>
    <row r="143" spans="1:29">
      <c r="A143" s="19"/>
      <c r="B143" s="57" t="s">
        <v>128</v>
      </c>
      <c r="C143" s="11">
        <f t="shared" si="21"/>
        <v>245240.57</v>
      </c>
      <c r="D143" s="11">
        <f t="shared" ref="D143:Z143" si="62">D39+D91</f>
        <v>0</v>
      </c>
      <c r="E143" s="11">
        <f t="shared" si="62"/>
        <v>245240.57</v>
      </c>
      <c r="F143" s="11">
        <f t="shared" si="62"/>
        <v>0</v>
      </c>
      <c r="G143" s="11">
        <f t="shared" si="62"/>
        <v>0</v>
      </c>
      <c r="H143" s="11">
        <f t="shared" si="62"/>
        <v>0</v>
      </c>
      <c r="I143" s="11">
        <f t="shared" si="62"/>
        <v>0</v>
      </c>
      <c r="J143" s="11">
        <f t="shared" si="62"/>
        <v>0</v>
      </c>
      <c r="K143" s="11">
        <f t="shared" si="62"/>
        <v>0</v>
      </c>
      <c r="L143" s="11">
        <f t="shared" si="62"/>
        <v>0</v>
      </c>
      <c r="M143" s="11">
        <f t="shared" si="62"/>
        <v>0</v>
      </c>
      <c r="N143" s="11">
        <f t="shared" si="62"/>
        <v>0</v>
      </c>
      <c r="O143" s="11">
        <f t="shared" si="62"/>
        <v>0</v>
      </c>
      <c r="P143" s="11">
        <f t="shared" si="62"/>
        <v>0</v>
      </c>
      <c r="Q143" s="11">
        <f t="shared" si="62"/>
        <v>0</v>
      </c>
      <c r="R143" s="11">
        <f t="shared" si="62"/>
        <v>0</v>
      </c>
      <c r="S143" s="11">
        <f t="shared" si="62"/>
        <v>0</v>
      </c>
      <c r="T143" s="11">
        <f t="shared" si="62"/>
        <v>0</v>
      </c>
      <c r="U143" s="11">
        <f t="shared" si="62"/>
        <v>0</v>
      </c>
      <c r="V143" s="11">
        <f t="shared" si="62"/>
        <v>0</v>
      </c>
      <c r="W143" s="11">
        <f t="shared" si="62"/>
        <v>0</v>
      </c>
      <c r="X143" s="11">
        <f t="shared" si="62"/>
        <v>0</v>
      </c>
      <c r="Y143" s="11">
        <f t="shared" si="62"/>
        <v>0</v>
      </c>
      <c r="Z143" s="11">
        <f t="shared" si="62"/>
        <v>0</v>
      </c>
      <c r="AA143" s="11">
        <f t="shared" si="58"/>
        <v>0</v>
      </c>
      <c r="AB143" s="11">
        <f t="shared" si="58"/>
        <v>0</v>
      </c>
      <c r="AC143" s="11">
        <f t="shared" si="58"/>
        <v>0</v>
      </c>
    </row>
    <row r="144" spans="1:29">
      <c r="A144" s="19"/>
      <c r="B144" s="57" t="s">
        <v>129</v>
      </c>
      <c r="C144" s="11">
        <f t="shared" si="21"/>
        <v>750152.63</v>
      </c>
      <c r="D144" s="11">
        <f t="shared" ref="D144:Z144" si="63">D40+D92</f>
        <v>0</v>
      </c>
      <c r="E144" s="11">
        <f t="shared" si="63"/>
        <v>345761.14</v>
      </c>
      <c r="F144" s="11">
        <f t="shared" si="63"/>
        <v>394895.74</v>
      </c>
      <c r="G144" s="11">
        <f t="shared" si="63"/>
        <v>400</v>
      </c>
      <c r="H144" s="11">
        <f t="shared" si="63"/>
        <v>0</v>
      </c>
      <c r="I144" s="11">
        <f t="shared" si="63"/>
        <v>0</v>
      </c>
      <c r="J144" s="11">
        <f t="shared" si="63"/>
        <v>0</v>
      </c>
      <c r="K144" s="11">
        <f t="shared" si="63"/>
        <v>400</v>
      </c>
      <c r="L144" s="11">
        <f t="shared" si="63"/>
        <v>7449.49</v>
      </c>
      <c r="M144" s="11">
        <f t="shared" si="63"/>
        <v>0</v>
      </c>
      <c r="N144" s="11">
        <f t="shared" si="63"/>
        <v>0</v>
      </c>
      <c r="O144" s="11">
        <f t="shared" si="63"/>
        <v>0</v>
      </c>
      <c r="P144" s="11">
        <f t="shared" si="63"/>
        <v>6020.49</v>
      </c>
      <c r="Q144" s="11">
        <f t="shared" si="63"/>
        <v>0</v>
      </c>
      <c r="R144" s="11">
        <f t="shared" si="63"/>
        <v>1429</v>
      </c>
      <c r="S144" s="11">
        <f t="shared" si="63"/>
        <v>6392.45</v>
      </c>
      <c r="T144" s="11">
        <f t="shared" si="63"/>
        <v>1646.26</v>
      </c>
      <c r="U144" s="11">
        <f t="shared" si="63"/>
        <v>0</v>
      </c>
      <c r="V144" s="11">
        <f t="shared" si="63"/>
        <v>741.6</v>
      </c>
      <c r="W144" s="11">
        <f t="shared" si="63"/>
        <v>904.66</v>
      </c>
      <c r="X144" s="11">
        <f t="shared" si="63"/>
        <v>0</v>
      </c>
      <c r="Y144" s="11">
        <f t="shared" si="63"/>
        <v>0</v>
      </c>
      <c r="Z144" s="11">
        <f t="shared" si="63"/>
        <v>0</v>
      </c>
      <c r="AA144" s="11">
        <f t="shared" si="58"/>
        <v>0</v>
      </c>
      <c r="AB144" s="11">
        <f t="shared" si="58"/>
        <v>6100</v>
      </c>
      <c r="AC144" s="11">
        <f t="shared" si="58"/>
        <v>330</v>
      </c>
    </row>
    <row r="145" spans="1:29">
      <c r="A145" s="19"/>
      <c r="B145" s="57" t="s">
        <v>130</v>
      </c>
      <c r="C145" s="11">
        <f t="shared" si="21"/>
        <v>2122900.77</v>
      </c>
      <c r="D145" s="11">
        <f t="shared" ref="D145:Z145" si="64">D41+D93</f>
        <v>0</v>
      </c>
      <c r="E145" s="11">
        <f t="shared" si="64"/>
        <v>1564770.77</v>
      </c>
      <c r="F145" s="11">
        <f t="shared" si="64"/>
        <v>558130</v>
      </c>
      <c r="G145" s="11">
        <f t="shared" si="64"/>
        <v>0</v>
      </c>
      <c r="H145" s="11">
        <f t="shared" si="64"/>
        <v>0</v>
      </c>
      <c r="I145" s="11">
        <f t="shared" si="64"/>
        <v>0</v>
      </c>
      <c r="J145" s="11">
        <f t="shared" si="64"/>
        <v>0</v>
      </c>
      <c r="K145" s="11">
        <f t="shared" si="64"/>
        <v>0</v>
      </c>
      <c r="L145" s="11">
        <f t="shared" si="64"/>
        <v>0</v>
      </c>
      <c r="M145" s="11">
        <f t="shared" si="64"/>
        <v>0</v>
      </c>
      <c r="N145" s="11">
        <f t="shared" si="64"/>
        <v>0</v>
      </c>
      <c r="O145" s="11">
        <f t="shared" si="64"/>
        <v>0</v>
      </c>
      <c r="P145" s="11">
        <f t="shared" si="64"/>
        <v>0</v>
      </c>
      <c r="Q145" s="11">
        <f t="shared" si="64"/>
        <v>0</v>
      </c>
      <c r="R145" s="11">
        <f t="shared" si="64"/>
        <v>0</v>
      </c>
      <c r="S145" s="11">
        <f t="shared" si="64"/>
        <v>8000</v>
      </c>
      <c r="T145" s="11">
        <f t="shared" si="64"/>
        <v>0</v>
      </c>
      <c r="U145" s="11">
        <f t="shared" si="64"/>
        <v>0</v>
      </c>
      <c r="V145" s="11">
        <f t="shared" si="64"/>
        <v>0</v>
      </c>
      <c r="W145" s="11">
        <f t="shared" si="64"/>
        <v>0</v>
      </c>
      <c r="X145" s="11">
        <f t="shared" si="64"/>
        <v>0</v>
      </c>
      <c r="Y145" s="11">
        <f t="shared" si="64"/>
        <v>0</v>
      </c>
      <c r="Z145" s="11">
        <f t="shared" si="64"/>
        <v>0</v>
      </c>
      <c r="AA145" s="11">
        <f t="shared" si="58"/>
        <v>0</v>
      </c>
      <c r="AB145" s="11">
        <f t="shared" si="58"/>
        <v>0</v>
      </c>
      <c r="AC145" s="11">
        <f t="shared" si="58"/>
        <v>0</v>
      </c>
    </row>
    <row r="146" spans="1:29">
      <c r="A146" s="19"/>
      <c r="B146" s="57" t="s">
        <v>131</v>
      </c>
      <c r="C146" s="11">
        <f t="shared" si="21"/>
        <v>864932.18</v>
      </c>
      <c r="D146" s="11">
        <f t="shared" ref="D146:Z146" si="65">D42+D94</f>
        <v>0</v>
      </c>
      <c r="E146" s="11">
        <f t="shared" si="65"/>
        <v>431999.05</v>
      </c>
      <c r="F146" s="11">
        <f t="shared" si="65"/>
        <v>54475.55</v>
      </c>
      <c r="G146" s="11">
        <f t="shared" si="65"/>
        <v>0</v>
      </c>
      <c r="H146" s="11">
        <f t="shared" si="65"/>
        <v>0</v>
      </c>
      <c r="I146" s="11">
        <f t="shared" si="65"/>
        <v>0</v>
      </c>
      <c r="J146" s="11">
        <f t="shared" si="65"/>
        <v>0</v>
      </c>
      <c r="K146" s="11">
        <f t="shared" si="65"/>
        <v>0</v>
      </c>
      <c r="L146" s="11">
        <f t="shared" si="65"/>
        <v>113207.54</v>
      </c>
      <c r="M146" s="11">
        <f t="shared" si="65"/>
        <v>0</v>
      </c>
      <c r="N146" s="11">
        <f t="shared" si="65"/>
        <v>113207.54</v>
      </c>
      <c r="O146" s="11">
        <f t="shared" si="65"/>
        <v>0</v>
      </c>
      <c r="P146" s="11">
        <f t="shared" si="65"/>
        <v>0</v>
      </c>
      <c r="Q146" s="11">
        <f t="shared" si="65"/>
        <v>0</v>
      </c>
      <c r="R146" s="11">
        <f t="shared" si="65"/>
        <v>0</v>
      </c>
      <c r="S146" s="11">
        <f t="shared" si="65"/>
        <v>0</v>
      </c>
      <c r="T146" s="11">
        <f t="shared" si="65"/>
        <v>265250.04</v>
      </c>
      <c r="U146" s="11">
        <f t="shared" si="65"/>
        <v>0</v>
      </c>
      <c r="V146" s="11">
        <f t="shared" si="65"/>
        <v>236398.6</v>
      </c>
      <c r="W146" s="11">
        <f t="shared" si="65"/>
        <v>28851.44</v>
      </c>
      <c r="X146" s="11">
        <f t="shared" si="65"/>
        <v>0</v>
      </c>
      <c r="Y146" s="11">
        <f t="shared" si="65"/>
        <v>0</v>
      </c>
      <c r="Z146" s="11">
        <f t="shared" si="65"/>
        <v>0</v>
      </c>
      <c r="AA146" s="11">
        <f t="shared" si="58"/>
        <v>0</v>
      </c>
      <c r="AB146" s="11">
        <f t="shared" si="58"/>
        <v>0</v>
      </c>
      <c r="AC146" s="11">
        <f t="shared" si="58"/>
        <v>0</v>
      </c>
    </row>
    <row r="147" spans="1:29">
      <c r="A147" s="19"/>
      <c r="B147" s="57" t="s">
        <v>132</v>
      </c>
      <c r="C147" s="11">
        <f t="shared" si="21"/>
        <v>0</v>
      </c>
      <c r="D147" s="11">
        <f t="shared" ref="D147:Z147" si="66">D43+D95</f>
        <v>0</v>
      </c>
      <c r="E147" s="11">
        <f t="shared" si="66"/>
        <v>0</v>
      </c>
      <c r="F147" s="11">
        <f t="shared" si="66"/>
        <v>0</v>
      </c>
      <c r="G147" s="11">
        <f t="shared" si="66"/>
        <v>0</v>
      </c>
      <c r="H147" s="11">
        <f t="shared" si="66"/>
        <v>0</v>
      </c>
      <c r="I147" s="11">
        <f t="shared" si="66"/>
        <v>0</v>
      </c>
      <c r="J147" s="11">
        <f t="shared" si="66"/>
        <v>0</v>
      </c>
      <c r="K147" s="11">
        <f t="shared" si="66"/>
        <v>0</v>
      </c>
      <c r="L147" s="11">
        <f t="shared" si="66"/>
        <v>0</v>
      </c>
      <c r="M147" s="11">
        <f t="shared" si="66"/>
        <v>0</v>
      </c>
      <c r="N147" s="11">
        <f t="shared" si="66"/>
        <v>0</v>
      </c>
      <c r="O147" s="11">
        <f t="shared" si="66"/>
        <v>0</v>
      </c>
      <c r="P147" s="11">
        <f t="shared" si="66"/>
        <v>0</v>
      </c>
      <c r="Q147" s="11">
        <f t="shared" si="66"/>
        <v>0</v>
      </c>
      <c r="R147" s="11">
        <f t="shared" si="66"/>
        <v>0</v>
      </c>
      <c r="S147" s="11">
        <f t="shared" si="66"/>
        <v>0</v>
      </c>
      <c r="T147" s="11">
        <f t="shared" si="66"/>
        <v>0</v>
      </c>
      <c r="U147" s="11">
        <f t="shared" si="66"/>
        <v>0</v>
      </c>
      <c r="V147" s="11">
        <f t="shared" si="66"/>
        <v>0</v>
      </c>
      <c r="W147" s="11">
        <f t="shared" si="66"/>
        <v>0</v>
      </c>
      <c r="X147" s="11">
        <f t="shared" si="66"/>
        <v>0</v>
      </c>
      <c r="Y147" s="11">
        <f t="shared" si="66"/>
        <v>0</v>
      </c>
      <c r="Z147" s="11">
        <f t="shared" si="66"/>
        <v>0</v>
      </c>
      <c r="AA147" s="11">
        <f t="shared" si="58"/>
        <v>0</v>
      </c>
      <c r="AB147" s="11">
        <f t="shared" si="58"/>
        <v>0</v>
      </c>
      <c r="AC147" s="11">
        <f t="shared" si="58"/>
        <v>0</v>
      </c>
    </row>
    <row r="148" customHeight="1" spans="1:29">
      <c r="A148" s="19"/>
      <c r="B148" s="57" t="s">
        <v>133</v>
      </c>
      <c r="C148" s="11">
        <f t="shared" si="21"/>
        <v>15325653.57</v>
      </c>
      <c r="D148" s="11">
        <f t="shared" ref="D148:Z148" si="67">D44+D96</f>
        <v>0</v>
      </c>
      <c r="E148" s="11">
        <f t="shared" si="67"/>
        <v>8978533.26</v>
      </c>
      <c r="F148" s="11">
        <f t="shared" si="67"/>
        <v>5930911.48</v>
      </c>
      <c r="G148" s="11">
        <f t="shared" si="67"/>
        <v>204391.22</v>
      </c>
      <c r="H148" s="11">
        <f t="shared" si="67"/>
        <v>0</v>
      </c>
      <c r="I148" s="11">
        <f t="shared" si="67"/>
        <v>19772.58</v>
      </c>
      <c r="J148" s="11">
        <f t="shared" si="67"/>
        <v>19772.58</v>
      </c>
      <c r="K148" s="11">
        <f t="shared" si="67"/>
        <v>164846.06</v>
      </c>
      <c r="L148" s="11">
        <f t="shared" si="67"/>
        <v>211817.61</v>
      </c>
      <c r="M148" s="11">
        <f t="shared" si="67"/>
        <v>50588.34</v>
      </c>
      <c r="N148" s="11">
        <f t="shared" si="67"/>
        <v>19393.5</v>
      </c>
      <c r="O148" s="11">
        <f t="shared" si="67"/>
        <v>6146.91</v>
      </c>
      <c r="P148" s="11">
        <f t="shared" si="67"/>
        <v>39545.16</v>
      </c>
      <c r="Q148" s="11">
        <f t="shared" si="67"/>
        <v>0</v>
      </c>
      <c r="R148" s="11">
        <f t="shared" si="67"/>
        <v>96143.7</v>
      </c>
      <c r="S148" s="11">
        <f t="shared" si="67"/>
        <v>12252.26</v>
      </c>
      <c r="T148" s="11">
        <f t="shared" si="67"/>
        <v>0</v>
      </c>
      <c r="U148" s="11">
        <f t="shared" si="67"/>
        <v>0</v>
      </c>
      <c r="V148" s="11">
        <f t="shared" si="67"/>
        <v>0</v>
      </c>
      <c r="W148" s="11">
        <f t="shared" si="67"/>
        <v>0</v>
      </c>
      <c r="X148" s="11">
        <f t="shared" si="67"/>
        <v>0</v>
      </c>
      <c r="Y148" s="11">
        <f t="shared" si="67"/>
        <v>0</v>
      </c>
      <c r="Z148" s="11">
        <f t="shared" si="67"/>
        <v>0</v>
      </c>
      <c r="AA148" s="11">
        <f t="shared" si="58"/>
        <v>0</v>
      </c>
      <c r="AB148" s="11">
        <f t="shared" si="58"/>
        <v>0</v>
      </c>
      <c r="AC148" s="11">
        <f t="shared" si="58"/>
        <v>0</v>
      </c>
    </row>
    <row r="149" spans="1:29">
      <c r="A149" s="19"/>
      <c r="B149" s="57" t="s">
        <v>134</v>
      </c>
      <c r="C149" s="11">
        <f t="shared" si="21"/>
        <v>5514187.82</v>
      </c>
      <c r="D149" s="11">
        <f t="shared" ref="D149:Z149" si="68">D45+D97</f>
        <v>0</v>
      </c>
      <c r="E149" s="11">
        <f t="shared" si="68"/>
        <v>1096481.94</v>
      </c>
      <c r="F149" s="11">
        <f t="shared" si="68"/>
        <v>3670809.85</v>
      </c>
      <c r="G149" s="11">
        <f t="shared" si="68"/>
        <v>387398.7</v>
      </c>
      <c r="H149" s="11">
        <f t="shared" si="68"/>
        <v>3603.25</v>
      </c>
      <c r="I149" s="11">
        <f t="shared" si="68"/>
        <v>84312.03</v>
      </c>
      <c r="J149" s="11">
        <f t="shared" si="68"/>
        <v>81192.68</v>
      </c>
      <c r="K149" s="11">
        <f t="shared" si="68"/>
        <v>221893.99</v>
      </c>
      <c r="L149" s="11">
        <f t="shared" si="68"/>
        <v>355447.14</v>
      </c>
      <c r="M149" s="11">
        <f t="shared" si="68"/>
        <v>78118.44</v>
      </c>
      <c r="N149" s="11">
        <f t="shared" si="68"/>
        <v>78118.44</v>
      </c>
      <c r="O149" s="11">
        <f t="shared" si="68"/>
        <v>65374.09</v>
      </c>
      <c r="P149" s="11">
        <f t="shared" si="68"/>
        <v>36050.87</v>
      </c>
      <c r="Q149" s="11">
        <f t="shared" si="68"/>
        <v>55417.38</v>
      </c>
      <c r="R149" s="11">
        <f t="shared" si="68"/>
        <v>42367.92</v>
      </c>
      <c r="S149" s="11">
        <f t="shared" si="68"/>
        <v>1560</v>
      </c>
      <c r="T149" s="11">
        <f t="shared" si="68"/>
        <v>4050.19</v>
      </c>
      <c r="U149" s="11">
        <f t="shared" si="68"/>
        <v>2452.83</v>
      </c>
      <c r="V149" s="11">
        <f t="shared" si="68"/>
        <v>1220</v>
      </c>
      <c r="W149" s="11">
        <f t="shared" si="68"/>
        <v>0</v>
      </c>
      <c r="X149" s="11">
        <f t="shared" si="68"/>
        <v>377.36</v>
      </c>
      <c r="Y149" s="11">
        <f t="shared" si="68"/>
        <v>0</v>
      </c>
      <c r="Z149" s="11">
        <f t="shared" si="68"/>
        <v>0</v>
      </c>
      <c r="AA149" s="11">
        <f t="shared" si="58"/>
        <v>0</v>
      </c>
      <c r="AB149" s="11">
        <f t="shared" si="58"/>
        <v>5471.7</v>
      </c>
      <c r="AC149" s="11">
        <f t="shared" si="58"/>
        <v>2264.16</v>
      </c>
    </row>
    <row r="150" spans="1:29">
      <c r="A150" s="19"/>
      <c r="B150" s="57" t="s">
        <v>135</v>
      </c>
      <c r="C150" s="11">
        <f t="shared" si="21"/>
        <v>38706485.25</v>
      </c>
      <c r="D150" s="11">
        <f t="shared" ref="D150:Z150" si="69">D46+D98</f>
        <v>274503.2</v>
      </c>
      <c r="E150" s="11">
        <f t="shared" si="69"/>
        <v>8256295.27</v>
      </c>
      <c r="F150" s="11">
        <f t="shared" si="69"/>
        <v>27419202.72</v>
      </c>
      <c r="G150" s="11">
        <f t="shared" si="69"/>
        <v>512668.06</v>
      </c>
      <c r="H150" s="11">
        <f t="shared" si="69"/>
        <v>1895</v>
      </c>
      <c r="I150" s="11">
        <f t="shared" si="69"/>
        <v>0</v>
      </c>
      <c r="J150" s="11">
        <f t="shared" si="69"/>
        <v>206111.01</v>
      </c>
      <c r="K150" s="11">
        <f t="shared" si="69"/>
        <v>306557.05</v>
      </c>
      <c r="L150" s="11">
        <f t="shared" si="69"/>
        <v>1662193.61</v>
      </c>
      <c r="M150" s="11">
        <f t="shared" si="69"/>
        <v>257200.74</v>
      </c>
      <c r="N150" s="11">
        <f t="shared" si="69"/>
        <v>257918.61</v>
      </c>
      <c r="O150" s="11">
        <f t="shared" si="69"/>
        <v>256947.74</v>
      </c>
      <c r="P150" s="11">
        <f t="shared" si="69"/>
        <v>319178.4</v>
      </c>
      <c r="Q150" s="11">
        <f t="shared" si="69"/>
        <v>264391.07</v>
      </c>
      <c r="R150" s="11">
        <f t="shared" si="69"/>
        <v>306557.05</v>
      </c>
      <c r="S150" s="11">
        <f t="shared" si="69"/>
        <v>5185051.9</v>
      </c>
      <c r="T150" s="11">
        <f t="shared" si="69"/>
        <v>581622.39</v>
      </c>
      <c r="U150" s="11">
        <f t="shared" si="69"/>
        <v>0</v>
      </c>
      <c r="V150" s="11">
        <f t="shared" si="69"/>
        <v>359831.22</v>
      </c>
      <c r="W150" s="11">
        <f t="shared" si="69"/>
        <v>221707.17</v>
      </c>
      <c r="X150" s="11">
        <f t="shared" si="69"/>
        <v>0</v>
      </c>
      <c r="Y150" s="11">
        <f t="shared" si="69"/>
        <v>84</v>
      </c>
      <c r="Z150" s="11">
        <f t="shared" si="69"/>
        <v>0</v>
      </c>
      <c r="AA150" s="11">
        <f t="shared" si="58"/>
        <v>0</v>
      </c>
      <c r="AB150" s="11">
        <f t="shared" si="58"/>
        <v>113027.13</v>
      </c>
      <c r="AC150" s="11">
        <f t="shared" si="58"/>
        <v>168056</v>
      </c>
    </row>
    <row r="151" spans="1:29">
      <c r="A151" s="19"/>
      <c r="B151" s="57" t="s">
        <v>136</v>
      </c>
      <c r="C151" s="11">
        <f t="shared" si="21"/>
        <v>17845623.41</v>
      </c>
      <c r="D151" s="11">
        <f t="shared" ref="D151:Z151" si="70">D47+D99</f>
        <v>-9832594.48</v>
      </c>
      <c r="E151" s="11">
        <f t="shared" si="70"/>
        <v>13955654.5</v>
      </c>
      <c r="F151" s="11">
        <f t="shared" si="70"/>
        <v>13583879.78</v>
      </c>
      <c r="G151" s="11">
        <f t="shared" si="70"/>
        <v>6711.29</v>
      </c>
      <c r="H151" s="11">
        <f t="shared" si="70"/>
        <v>0</v>
      </c>
      <c r="I151" s="11">
        <f t="shared" si="70"/>
        <v>0</v>
      </c>
      <c r="J151" s="11">
        <f t="shared" si="70"/>
        <v>1852.93</v>
      </c>
      <c r="K151" s="11">
        <f t="shared" si="70"/>
        <v>4858.36</v>
      </c>
      <c r="L151" s="11">
        <f t="shared" si="70"/>
        <v>131972.32</v>
      </c>
      <c r="M151" s="11">
        <f t="shared" si="70"/>
        <v>26826.08</v>
      </c>
      <c r="N151" s="11">
        <f t="shared" si="70"/>
        <v>26948.8</v>
      </c>
      <c r="O151" s="11">
        <f t="shared" si="70"/>
        <v>26790.81</v>
      </c>
      <c r="P151" s="11">
        <f t="shared" si="70"/>
        <v>32647.97</v>
      </c>
      <c r="Q151" s="11">
        <f t="shared" si="70"/>
        <v>4555.7</v>
      </c>
      <c r="R151" s="11">
        <f t="shared" si="70"/>
        <v>14202.96</v>
      </c>
      <c r="S151" s="11">
        <f t="shared" si="70"/>
        <v>514668.67</v>
      </c>
      <c r="T151" s="11">
        <f t="shared" si="70"/>
        <v>0</v>
      </c>
      <c r="U151" s="11">
        <f t="shared" si="70"/>
        <v>0</v>
      </c>
      <c r="V151" s="11">
        <f t="shared" si="70"/>
        <v>0</v>
      </c>
      <c r="W151" s="11">
        <f t="shared" si="70"/>
        <v>0</v>
      </c>
      <c r="X151" s="11">
        <f t="shared" si="70"/>
        <v>0</v>
      </c>
      <c r="Y151" s="11">
        <f t="shared" si="70"/>
        <v>0</v>
      </c>
      <c r="Z151" s="11">
        <f t="shared" si="70"/>
        <v>0</v>
      </c>
      <c r="AA151" s="11">
        <f t="shared" si="58"/>
        <v>0</v>
      </c>
      <c r="AB151" s="11">
        <f t="shared" si="58"/>
        <v>0</v>
      </c>
      <c r="AC151" s="11">
        <f t="shared" si="58"/>
        <v>0</v>
      </c>
    </row>
    <row r="152" spans="1:29">
      <c r="A152" s="19"/>
      <c r="B152" s="57" t="s">
        <v>137</v>
      </c>
      <c r="C152" s="11">
        <f t="shared" si="21"/>
        <v>8712536.19</v>
      </c>
      <c r="D152" s="11">
        <f t="shared" ref="D152:Z152" si="71">D48+D100</f>
        <v>0</v>
      </c>
      <c r="E152" s="11">
        <f t="shared" si="71"/>
        <v>3592216.38328138</v>
      </c>
      <c r="F152" s="11">
        <f t="shared" si="71"/>
        <v>632589.24</v>
      </c>
      <c r="G152" s="11">
        <f t="shared" si="71"/>
        <v>1186635</v>
      </c>
      <c r="H152" s="11">
        <f t="shared" si="71"/>
        <v>0</v>
      </c>
      <c r="I152" s="11">
        <f t="shared" si="71"/>
        <v>421575</v>
      </c>
      <c r="J152" s="11">
        <f t="shared" si="71"/>
        <v>361951</v>
      </c>
      <c r="K152" s="11">
        <f t="shared" si="71"/>
        <v>403109</v>
      </c>
      <c r="L152" s="11">
        <f t="shared" si="71"/>
        <v>1223382.91671756</v>
      </c>
      <c r="M152" s="11">
        <f t="shared" si="71"/>
        <v>462606.142871573</v>
      </c>
      <c r="N152" s="11">
        <f t="shared" si="71"/>
        <v>393763.135187976</v>
      </c>
      <c r="O152" s="11">
        <f t="shared" si="71"/>
        <v>367013.638658009</v>
      </c>
      <c r="P152" s="11">
        <f t="shared" si="71"/>
        <v>0</v>
      </c>
      <c r="Q152" s="11">
        <f t="shared" si="71"/>
        <v>0</v>
      </c>
      <c r="R152" s="11">
        <f t="shared" si="71"/>
        <v>0</v>
      </c>
      <c r="S152" s="11">
        <f t="shared" si="71"/>
        <v>0</v>
      </c>
      <c r="T152" s="11">
        <f t="shared" si="71"/>
        <v>2077712.65000106</v>
      </c>
      <c r="U152" s="11">
        <f t="shared" si="71"/>
        <v>495382.995587211</v>
      </c>
      <c r="V152" s="11">
        <f t="shared" si="71"/>
        <v>588261.377362426</v>
      </c>
      <c r="W152" s="11">
        <f t="shared" si="71"/>
        <v>361734.568944537</v>
      </c>
      <c r="X152" s="11">
        <f t="shared" si="71"/>
        <v>121848.708106887</v>
      </c>
      <c r="Y152" s="11">
        <f t="shared" si="71"/>
        <v>460174</v>
      </c>
      <c r="Z152" s="11">
        <f t="shared" si="71"/>
        <v>50311</v>
      </c>
      <c r="AA152" s="11">
        <f t="shared" si="58"/>
        <v>0</v>
      </c>
      <c r="AB152" s="11">
        <f t="shared" si="58"/>
        <v>0</v>
      </c>
      <c r="AC152" s="11">
        <f t="shared" si="58"/>
        <v>3773.64</v>
      </c>
    </row>
    <row r="153" spans="1:29">
      <c r="A153" s="19"/>
      <c r="B153" s="57" t="s">
        <v>138</v>
      </c>
      <c r="C153" s="11">
        <f t="shared" si="21"/>
        <v>8655964.52</v>
      </c>
      <c r="D153" s="11">
        <f t="shared" ref="D153:Z153" si="72">D49+D101</f>
        <v>-613649</v>
      </c>
      <c r="E153" s="11">
        <f t="shared" si="72"/>
        <v>1020771.7280963</v>
      </c>
      <c r="F153" s="11">
        <f t="shared" si="72"/>
        <v>6701569.32</v>
      </c>
      <c r="G153" s="11">
        <f t="shared" si="72"/>
        <v>117831.85</v>
      </c>
      <c r="H153" s="11">
        <f t="shared" si="72"/>
        <v>10663.94</v>
      </c>
      <c r="I153" s="11">
        <f t="shared" si="72"/>
        <v>1670.26</v>
      </c>
      <c r="J153" s="11">
        <f t="shared" si="72"/>
        <v>35393.81</v>
      </c>
      <c r="K153" s="11">
        <f t="shared" si="72"/>
        <v>80767.78</v>
      </c>
      <c r="L153" s="11">
        <f t="shared" si="72"/>
        <v>1410622.2219037</v>
      </c>
      <c r="M153" s="11">
        <f t="shared" si="72"/>
        <v>30304.86</v>
      </c>
      <c r="N153" s="11">
        <f t="shared" si="72"/>
        <v>29419.51</v>
      </c>
      <c r="O153" s="11">
        <f t="shared" si="72"/>
        <v>30416.09</v>
      </c>
      <c r="P153" s="11">
        <f t="shared" si="72"/>
        <v>502538.472886103</v>
      </c>
      <c r="Q153" s="11">
        <f t="shared" si="72"/>
        <v>408219.319729121</v>
      </c>
      <c r="R153" s="11">
        <f t="shared" si="72"/>
        <v>409723.969288478</v>
      </c>
      <c r="S153" s="11">
        <f t="shared" si="72"/>
        <v>34820.61</v>
      </c>
      <c r="T153" s="11">
        <f t="shared" si="72"/>
        <v>18818.4</v>
      </c>
      <c r="U153" s="11">
        <f t="shared" si="72"/>
        <v>0</v>
      </c>
      <c r="V153" s="11">
        <f t="shared" si="72"/>
        <v>1880.04</v>
      </c>
      <c r="W153" s="11">
        <f t="shared" si="72"/>
        <v>16938.36</v>
      </c>
      <c r="X153" s="11">
        <f t="shared" si="72"/>
        <v>0</v>
      </c>
      <c r="Y153" s="11">
        <f t="shared" si="72"/>
        <v>0</v>
      </c>
      <c r="Z153" s="11">
        <f t="shared" si="72"/>
        <v>0</v>
      </c>
      <c r="AA153" s="11">
        <f t="shared" si="58"/>
        <v>0</v>
      </c>
      <c r="AB153" s="11">
        <f t="shared" si="58"/>
        <v>0</v>
      </c>
      <c r="AC153" s="11">
        <f t="shared" si="58"/>
        <v>0</v>
      </c>
    </row>
    <row r="154" spans="1:29">
      <c r="A154" s="19"/>
      <c r="B154" s="57" t="s">
        <v>139</v>
      </c>
      <c r="C154" s="11">
        <f t="shared" si="21"/>
        <v>1092061.93</v>
      </c>
      <c r="D154" s="11">
        <f t="shared" ref="D154:Z154" si="73">D50+D102</f>
        <v>0</v>
      </c>
      <c r="E154" s="11">
        <f t="shared" si="73"/>
        <v>145754.08</v>
      </c>
      <c r="F154" s="11">
        <f t="shared" si="73"/>
        <v>755600.09</v>
      </c>
      <c r="G154" s="11">
        <f t="shared" si="73"/>
        <v>4300</v>
      </c>
      <c r="H154" s="11">
        <f t="shared" si="73"/>
        <v>13112.56</v>
      </c>
      <c r="I154" s="11">
        <f t="shared" si="73"/>
        <v>1100</v>
      </c>
      <c r="J154" s="11">
        <f t="shared" si="73"/>
        <v>3200</v>
      </c>
      <c r="K154" s="11">
        <f t="shared" si="73"/>
        <v>0</v>
      </c>
      <c r="L154" s="11">
        <f t="shared" si="73"/>
        <v>186407.76</v>
      </c>
      <c r="M154" s="11">
        <f t="shared" si="73"/>
        <v>0</v>
      </c>
      <c r="N154" s="11">
        <f t="shared" si="73"/>
        <v>0</v>
      </c>
      <c r="O154" s="11">
        <f t="shared" si="73"/>
        <v>0</v>
      </c>
      <c r="P154" s="11">
        <f t="shared" si="73"/>
        <v>0</v>
      </c>
      <c r="Q154" s="11">
        <f t="shared" si="73"/>
        <v>0</v>
      </c>
      <c r="R154" s="11">
        <f t="shared" si="73"/>
        <v>186407.76</v>
      </c>
      <c r="S154" s="11">
        <f t="shared" si="73"/>
        <v>0</v>
      </c>
      <c r="T154" s="11">
        <f t="shared" si="73"/>
        <v>0</v>
      </c>
      <c r="U154" s="11">
        <f t="shared" si="73"/>
        <v>0</v>
      </c>
      <c r="V154" s="11">
        <f t="shared" si="73"/>
        <v>0</v>
      </c>
      <c r="W154" s="11">
        <f t="shared" si="73"/>
        <v>0</v>
      </c>
      <c r="X154" s="11">
        <f t="shared" si="73"/>
        <v>0</v>
      </c>
      <c r="Y154" s="11">
        <f t="shared" si="73"/>
        <v>0</v>
      </c>
      <c r="Z154" s="11">
        <f t="shared" si="73"/>
        <v>0</v>
      </c>
      <c r="AA154" s="11">
        <f t="shared" si="58"/>
        <v>0</v>
      </c>
      <c r="AB154" s="11">
        <f t="shared" si="58"/>
        <v>0</v>
      </c>
      <c r="AC154" s="11">
        <f t="shared" si="58"/>
        <v>0</v>
      </c>
    </row>
    <row r="155" spans="1:29">
      <c r="A155" s="20"/>
      <c r="B155" s="69" t="s">
        <v>102</v>
      </c>
      <c r="C155" s="307">
        <f t="shared" si="21"/>
        <v>113605128.06</v>
      </c>
      <c r="D155" s="307">
        <f>SUM(D139:D154)</f>
        <v>-10171740.28</v>
      </c>
      <c r="E155" s="307">
        <f t="shared" ref="E155:U155" si="74">SUM(E139:E154)</f>
        <v>44946995.1113777</v>
      </c>
      <c r="F155" s="307">
        <f t="shared" si="74"/>
        <v>66979586.31</v>
      </c>
      <c r="G155" s="307">
        <f t="shared" si="74"/>
        <v>2590736.22</v>
      </c>
      <c r="H155" s="307">
        <f t="shared" si="74"/>
        <v>102510.82</v>
      </c>
      <c r="I155" s="307">
        <f t="shared" si="74"/>
        <v>562481.48</v>
      </c>
      <c r="J155" s="307">
        <f t="shared" si="74"/>
        <v>754900.48</v>
      </c>
      <c r="K155" s="307">
        <f t="shared" si="74"/>
        <v>1273354.26</v>
      </c>
      <c r="L155" s="307">
        <f t="shared" si="74"/>
        <v>5725084.45862126</v>
      </c>
      <c r="M155" s="307">
        <f t="shared" si="74"/>
        <v>971661.742871573</v>
      </c>
      <c r="N155" s="307">
        <f t="shared" si="74"/>
        <v>996121.605187976</v>
      </c>
      <c r="O155" s="307">
        <f t="shared" si="74"/>
        <v>816618.578658009</v>
      </c>
      <c r="P155" s="307">
        <f t="shared" si="74"/>
        <v>1024259.6628861</v>
      </c>
      <c r="Q155" s="307">
        <f t="shared" si="74"/>
        <v>790689.779729121</v>
      </c>
      <c r="R155" s="307">
        <f t="shared" si="74"/>
        <v>1125733.08928848</v>
      </c>
      <c r="S155" s="307">
        <f t="shared" si="74"/>
        <v>6004760.31</v>
      </c>
      <c r="T155" s="307">
        <f t="shared" si="74"/>
        <v>3534466.24000106</v>
      </c>
      <c r="U155" s="307">
        <f t="shared" si="74"/>
        <v>567260.555587211</v>
      </c>
      <c r="V155" s="307">
        <f t="shared" ref="V155:AC155" si="75">SUM(V139:V154)</f>
        <v>1587760.19736243</v>
      </c>
      <c r="W155" s="307">
        <f t="shared" si="75"/>
        <v>714728.158944537</v>
      </c>
      <c r="X155" s="307">
        <f t="shared" si="75"/>
        <v>147001.908106887</v>
      </c>
      <c r="Y155" s="307">
        <f t="shared" si="75"/>
        <v>466148.42</v>
      </c>
      <c r="Z155" s="307">
        <f t="shared" si="75"/>
        <v>51567</v>
      </c>
      <c r="AA155" s="307">
        <f t="shared" si="75"/>
        <v>0</v>
      </c>
      <c r="AB155" s="307">
        <f t="shared" si="75"/>
        <v>192589.35</v>
      </c>
      <c r="AC155" s="307">
        <f t="shared" si="75"/>
        <v>402322.2</v>
      </c>
    </row>
    <row r="156" ht="14.25" spans="1:29">
      <c r="A156" s="23"/>
      <c r="B156" s="71" t="s">
        <v>4</v>
      </c>
      <c r="C156" s="25">
        <f t="shared" si="21"/>
        <v>729418188.97</v>
      </c>
      <c r="D156" s="25">
        <f t="shared" ref="D156:AC156" si="76">D155+D138+D118+D124</f>
        <v>13777706.6390505</v>
      </c>
      <c r="E156" s="25">
        <f t="shared" si="76"/>
        <v>178025539.251378</v>
      </c>
      <c r="F156" s="25">
        <f t="shared" si="76"/>
        <v>365350240.047925</v>
      </c>
      <c r="G156" s="25">
        <f t="shared" si="76"/>
        <v>16714773.93</v>
      </c>
      <c r="H156" s="25">
        <f t="shared" si="76"/>
        <v>6479290.06</v>
      </c>
      <c r="I156" s="25">
        <f t="shared" si="76"/>
        <v>4266184.42</v>
      </c>
      <c r="J156" s="25">
        <f t="shared" si="76"/>
        <v>5334641.88</v>
      </c>
      <c r="K156" s="25">
        <f t="shared" si="76"/>
        <v>7113947.63</v>
      </c>
      <c r="L156" s="25">
        <f t="shared" si="76"/>
        <v>27404611.1116463</v>
      </c>
      <c r="M156" s="25">
        <f t="shared" si="76"/>
        <v>3575879.64287157</v>
      </c>
      <c r="N156" s="25">
        <f t="shared" si="76"/>
        <v>4586246.87518798</v>
      </c>
      <c r="O156" s="25">
        <f t="shared" si="76"/>
        <v>2331150.13865801</v>
      </c>
      <c r="P156" s="25">
        <f t="shared" si="76"/>
        <v>7977434.8728861</v>
      </c>
      <c r="Q156" s="25">
        <f t="shared" si="76"/>
        <v>4330300.18972912</v>
      </c>
      <c r="R156" s="25">
        <f t="shared" si="76"/>
        <v>4603599.39231348</v>
      </c>
      <c r="S156" s="25">
        <f t="shared" si="76"/>
        <v>9360888.63</v>
      </c>
      <c r="T156" s="25">
        <f t="shared" si="76"/>
        <v>128145317.990001</v>
      </c>
      <c r="U156" s="25">
        <f t="shared" si="76"/>
        <v>11698578.7155872</v>
      </c>
      <c r="V156" s="25">
        <f t="shared" si="76"/>
        <v>85371387.5873624</v>
      </c>
      <c r="W156" s="25">
        <f t="shared" si="76"/>
        <v>22963540.2189445</v>
      </c>
      <c r="X156" s="25">
        <f t="shared" si="76"/>
        <v>3594704.78810689</v>
      </c>
      <c r="Y156" s="25">
        <f t="shared" si="76"/>
        <v>2847406.37</v>
      </c>
      <c r="Z156" s="25">
        <f t="shared" si="76"/>
        <v>676089.11</v>
      </c>
      <c r="AA156" s="25">
        <f t="shared" si="76"/>
        <v>993611.2</v>
      </c>
      <c r="AB156" s="25">
        <f t="shared" si="76"/>
        <v>7526817.34</v>
      </c>
      <c r="AC156" s="25">
        <f t="shared" si="76"/>
        <v>8379737.39</v>
      </c>
    </row>
    <row r="157" spans="3:3">
      <c r="C157" s="308"/>
    </row>
    <row r="158" s="282" customFormat="1" ht="12" spans="2:29">
      <c r="B158" s="309" t="s">
        <v>55</v>
      </c>
      <c r="C158" s="309">
        <f>C156-累计利润调整表!B78</f>
        <v>0</v>
      </c>
      <c r="D158" s="282">
        <f>D156-累计利润调整表!C78</f>
        <v>0</v>
      </c>
      <c r="E158" s="282">
        <f>E156-累计利润调整表!D78</f>
        <v>0</v>
      </c>
      <c r="F158" s="282">
        <f>F156-累计利润调整表!E78</f>
        <v>0</v>
      </c>
      <c r="G158" s="282">
        <f>G156-累计利润调整表!F78</f>
        <v>0</v>
      </c>
      <c r="H158" s="282">
        <f>H156-累计利润调整表!G78</f>
        <v>0</v>
      </c>
      <c r="I158" s="282">
        <f>I156-累计利润调整表!H78</f>
        <v>0</v>
      </c>
      <c r="J158" s="282">
        <f>J156-累计利润调整表!I78</f>
        <v>0</v>
      </c>
      <c r="K158" s="310">
        <f>K156-累计利润调整表!J78</f>
        <v>0</v>
      </c>
      <c r="L158" s="282">
        <f>L156-累计利润调整表!K78</f>
        <v>0</v>
      </c>
      <c r="M158" s="282">
        <f>M156-累计利润调整表!L78</f>
        <v>0</v>
      </c>
      <c r="N158" s="282">
        <f>N156-累计利润调整表!M78</f>
        <v>0</v>
      </c>
      <c r="O158" s="282">
        <f>O156-累计利润调整表!N78</f>
        <v>0</v>
      </c>
      <c r="P158" s="282">
        <f>P156-累计利润调整表!O78</f>
        <v>0</v>
      </c>
      <c r="Q158" s="282">
        <f>Q156-累计利润调整表!P78</f>
        <v>0</v>
      </c>
      <c r="R158" s="282">
        <f>R156-累计利润调整表!Q78</f>
        <v>0</v>
      </c>
      <c r="S158" s="282">
        <f>S156-累计利润调整表!R78</f>
        <v>0</v>
      </c>
      <c r="T158" s="282">
        <f>T156-累计利润调整表!S78</f>
        <v>0</v>
      </c>
      <c r="U158" s="282">
        <f>U156-累计利润调整表!T78</f>
        <v>0</v>
      </c>
      <c r="V158" s="282">
        <f>V156-累计利润调整表!U78</f>
        <v>0</v>
      </c>
      <c r="W158" s="282">
        <f>W156-累计利润调整表!V78</f>
        <v>0</v>
      </c>
      <c r="X158" s="282">
        <f>X156-累计利润调整表!W78</f>
        <v>0</v>
      </c>
      <c r="Y158" s="282">
        <f>Y156-累计利润调整表!X78</f>
        <v>0</v>
      </c>
      <c r="Z158" s="282">
        <f>Z156-累计利润调整表!Y78</f>
        <v>0</v>
      </c>
      <c r="AA158" s="282">
        <f>AA156-累计利润调整表!Z78</f>
        <v>0</v>
      </c>
      <c r="AB158" s="282">
        <f>AB156-累计利润调整表!AA78</f>
        <v>0</v>
      </c>
      <c r="AC158" s="282">
        <f>AC156-累计利润调整表!AB78</f>
        <v>0</v>
      </c>
    </row>
    <row r="160" spans="20:22">
      <c r="T160" s="283"/>
      <c r="U160" s="283"/>
      <c r="V160" s="283"/>
    </row>
  </sheetData>
  <mergeCells count="12">
    <mergeCell ref="A4:A14"/>
    <mergeCell ref="A15:A20"/>
    <mergeCell ref="A21:A34"/>
    <mergeCell ref="A35:A51"/>
    <mergeCell ref="A56:A66"/>
    <mergeCell ref="A67:A72"/>
    <mergeCell ref="A73:A86"/>
    <mergeCell ref="A87:A103"/>
    <mergeCell ref="A108:A118"/>
    <mergeCell ref="A119:A124"/>
    <mergeCell ref="A125:A138"/>
    <mergeCell ref="A139:A15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O36"/>
  <sheetViews>
    <sheetView showGridLines="0" workbookViewId="0">
      <pane xSplit="2" ySplit="3" topLeftCell="C10" activePane="bottomRight" state="frozen"/>
      <selection/>
      <selection pane="topRight"/>
      <selection pane="bottomLeft"/>
      <selection pane="bottomRight" activeCell="I3" sqref="I3:DO35"/>
    </sheetView>
  </sheetViews>
  <sheetFormatPr defaultColWidth="9" defaultRowHeight="13.5"/>
  <cols>
    <col min="1" max="1" width="32.375" customWidth="1"/>
    <col min="2" max="2" width="21.625" hidden="1" customWidth="1"/>
    <col min="3" max="3" width="21.625" customWidth="1"/>
    <col min="4" max="4" width="18.375" customWidth="1"/>
    <col min="5" max="5" width="20.5" customWidth="1"/>
    <col min="6" max="6" width="19.375" customWidth="1"/>
    <col min="7" max="9" width="20.5" customWidth="1"/>
    <col min="10" max="10" width="17.25" customWidth="1"/>
    <col min="11" max="11" width="11" customWidth="1"/>
    <col min="12" max="13" width="19.375" customWidth="1"/>
    <col min="14" max="14" width="20.5" customWidth="1"/>
    <col min="15" max="15" width="19.375" customWidth="1"/>
    <col min="16" max="17" width="18.375" customWidth="1"/>
    <col min="18" max="18" width="11" customWidth="1"/>
    <col min="19" max="19" width="18.375" customWidth="1"/>
    <col min="20" max="21" width="19.375" customWidth="1"/>
    <col min="22" max="22" width="18.375" customWidth="1"/>
    <col min="23" max="23" width="19.375" customWidth="1"/>
    <col min="24" max="24" width="18.375" customWidth="1"/>
    <col min="25" max="25" width="19.375" customWidth="1"/>
    <col min="26" max="26" width="18.375" customWidth="1"/>
    <col min="27" max="27" width="17.25" customWidth="1"/>
    <col min="28" max="28" width="18.375" customWidth="1"/>
    <col min="29" max="29" width="19.375" customWidth="1"/>
    <col min="30" max="31" width="18.375" customWidth="1"/>
    <col min="32" max="32" width="17.25" customWidth="1"/>
    <col min="33" max="33" width="18.375" customWidth="1"/>
    <col min="34" max="35" width="17.25" customWidth="1"/>
    <col min="36" max="37" width="18.375" customWidth="1"/>
    <col min="38" max="38" width="20.5" customWidth="1"/>
    <col min="39" max="41" width="18.375" customWidth="1"/>
    <col min="42" max="42" width="19.375" customWidth="1"/>
    <col min="43" max="43" width="18.375" customWidth="1"/>
    <col min="44" max="44" width="19.375" customWidth="1"/>
    <col min="45" max="45" width="18.375" customWidth="1"/>
    <col min="46" max="46" width="8.5" customWidth="1"/>
    <col min="47" max="47" width="19.375" customWidth="1"/>
    <col min="48" max="53" width="18.375" customWidth="1"/>
    <col min="54" max="54" width="17.25" customWidth="1"/>
    <col min="55" max="56" width="18.375" customWidth="1"/>
    <col min="57" max="57" width="17.25" customWidth="1"/>
    <col min="58" max="59" width="18.375" customWidth="1"/>
    <col min="60" max="60" width="19.25" customWidth="1"/>
    <col min="61" max="76" width="17.25" customWidth="1"/>
    <col min="77" max="77" width="18.375" customWidth="1"/>
    <col min="78" max="78" width="16.125" customWidth="1"/>
    <col min="79" max="82" width="17.25" customWidth="1"/>
    <col min="83" max="83" width="18.375" customWidth="1"/>
    <col min="84" max="84" width="19.375" customWidth="1"/>
    <col min="85" max="89" width="17.25" customWidth="1"/>
    <col min="90" max="90" width="18.375" customWidth="1"/>
    <col min="91" max="91" width="17.25" customWidth="1"/>
    <col min="92" max="92" width="18.375" customWidth="1"/>
    <col min="93" max="94" width="17.25" customWidth="1"/>
    <col min="95" max="96" width="18.375" customWidth="1"/>
    <col min="97" max="101" width="17.25" customWidth="1"/>
    <col min="102" max="103" width="16.125" customWidth="1"/>
    <col min="104" max="104" width="18.375" customWidth="1"/>
    <col min="105" max="106" width="17.25" customWidth="1"/>
    <col min="107" max="107" width="18.375" customWidth="1"/>
    <col min="108" max="109" width="17.25" customWidth="1"/>
    <col min="110" max="110" width="18.375" customWidth="1"/>
    <col min="111" max="111" width="16.125" customWidth="1"/>
    <col min="112" max="113" width="17.25" customWidth="1"/>
  </cols>
  <sheetData>
    <row r="1" s="255" customFormat="1" ht="14.25" spans="1:113">
      <c r="A1" s="260"/>
      <c r="B1" s="261"/>
      <c r="C1" s="261"/>
      <c r="D1" s="259"/>
      <c r="E1" s="257"/>
      <c r="F1" s="257"/>
      <c r="G1" s="257"/>
      <c r="H1" s="257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</row>
    <row r="2" s="256" customFormat="1" spans="1:113">
      <c r="A2" s="262"/>
      <c r="I2" s="273" t="s">
        <v>141</v>
      </c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3" t="s">
        <v>142</v>
      </c>
      <c r="V2" s="274"/>
      <c r="W2" s="274"/>
      <c r="X2" s="274"/>
      <c r="Y2" s="274"/>
      <c r="Z2" s="274"/>
      <c r="AA2" s="274"/>
      <c r="AB2" s="275" t="s">
        <v>143</v>
      </c>
      <c r="AC2" s="276"/>
      <c r="AD2" s="276"/>
      <c r="AE2" s="277"/>
      <c r="AF2" s="276"/>
      <c r="AG2" s="276"/>
      <c r="AH2" s="276"/>
      <c r="AI2" s="276"/>
      <c r="AJ2" s="276"/>
      <c r="AK2" s="278" t="s">
        <v>8</v>
      </c>
      <c r="AL2" s="279"/>
      <c r="AM2" s="279"/>
      <c r="AN2" s="273" t="s">
        <v>144</v>
      </c>
      <c r="AO2" s="274"/>
      <c r="AP2" s="273" t="s">
        <v>145</v>
      </c>
      <c r="AQ2" s="274"/>
      <c r="AR2" s="274"/>
      <c r="AS2" s="274"/>
      <c r="AT2" s="274"/>
      <c r="AU2" s="274"/>
      <c r="AV2" s="273" t="s">
        <v>146</v>
      </c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  <c r="BV2" s="274"/>
      <c r="BW2" s="274"/>
      <c r="BX2" s="274"/>
      <c r="BY2" s="274"/>
      <c r="BZ2" s="274"/>
      <c r="CA2" s="274"/>
      <c r="CB2" s="274"/>
      <c r="CC2" s="274"/>
      <c r="CD2" s="274"/>
      <c r="CE2" s="274"/>
      <c r="CF2" s="274"/>
      <c r="CG2" s="274"/>
      <c r="CH2" s="274"/>
      <c r="CI2" s="274"/>
      <c r="CJ2" s="274"/>
      <c r="CK2" s="274"/>
      <c r="CL2" s="274"/>
      <c r="CM2" s="274"/>
      <c r="CN2" s="274"/>
      <c r="CO2" s="274"/>
      <c r="CP2" s="274"/>
      <c r="CQ2" s="274"/>
      <c r="CR2" s="274"/>
      <c r="CS2" s="274"/>
      <c r="CT2" s="274"/>
      <c r="CU2" s="274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4"/>
      <c r="DI2" s="274"/>
    </row>
    <row r="3" s="257" customFormat="1" spans="1:119">
      <c r="A3" s="263"/>
      <c r="B3" s="257" t="s">
        <v>147</v>
      </c>
      <c r="C3" s="257" t="s">
        <v>148</v>
      </c>
      <c r="D3" s="257" t="s">
        <v>149</v>
      </c>
      <c r="E3" s="257" t="s">
        <v>150</v>
      </c>
      <c r="F3" s="264" t="s">
        <v>151</v>
      </c>
      <c r="G3" s="257" t="s">
        <v>152</v>
      </c>
      <c r="H3" s="257" t="s">
        <v>153</v>
      </c>
      <c r="I3" s="257" t="s">
        <v>154</v>
      </c>
      <c r="J3" s="257" t="s">
        <v>155</v>
      </c>
      <c r="K3" s="257" t="s">
        <v>156</v>
      </c>
      <c r="L3" s="257" t="s">
        <v>142</v>
      </c>
      <c r="M3" s="264" t="s">
        <v>157</v>
      </c>
      <c r="N3" s="264" t="s">
        <v>8</v>
      </c>
      <c r="O3" s="257" t="s">
        <v>158</v>
      </c>
      <c r="P3" s="257" t="s">
        <v>144</v>
      </c>
      <c r="Q3" s="257" t="s">
        <v>159</v>
      </c>
      <c r="R3" s="264" t="s">
        <v>160</v>
      </c>
      <c r="S3" s="264" t="s">
        <v>30</v>
      </c>
      <c r="T3" s="257" t="s">
        <v>145</v>
      </c>
      <c r="U3" s="257" t="s">
        <v>161</v>
      </c>
      <c r="V3" s="264" t="s">
        <v>14</v>
      </c>
      <c r="W3" s="264" t="s">
        <v>15</v>
      </c>
      <c r="X3" s="257" t="s">
        <v>17</v>
      </c>
      <c r="Y3" s="257" t="s">
        <v>19</v>
      </c>
      <c r="Z3" s="257" t="s">
        <v>18</v>
      </c>
      <c r="AA3" s="257" t="s">
        <v>16</v>
      </c>
      <c r="AB3" s="264" t="s">
        <v>29</v>
      </c>
      <c r="AC3" s="264" t="s">
        <v>23</v>
      </c>
      <c r="AD3" s="264" t="s">
        <v>24</v>
      </c>
      <c r="AE3" s="264" t="s">
        <v>22</v>
      </c>
      <c r="AF3" s="264" t="s">
        <v>25</v>
      </c>
      <c r="AG3" s="264" t="s">
        <v>26</v>
      </c>
      <c r="AH3" s="264" t="s">
        <v>27</v>
      </c>
      <c r="AI3" s="264" t="s">
        <v>162</v>
      </c>
      <c r="AJ3" s="264" t="s">
        <v>12</v>
      </c>
      <c r="AK3" s="257" t="s">
        <v>9</v>
      </c>
      <c r="AL3" s="257" t="s">
        <v>10</v>
      </c>
      <c r="AM3" s="257" t="s">
        <v>11</v>
      </c>
      <c r="AN3" s="257" t="s">
        <v>163</v>
      </c>
      <c r="AO3" s="257" t="s">
        <v>164</v>
      </c>
      <c r="AP3" s="257" t="s">
        <v>165</v>
      </c>
      <c r="AQ3" s="257" t="s">
        <v>166</v>
      </c>
      <c r="AR3" s="264" t="s">
        <v>167</v>
      </c>
      <c r="AS3" s="257" t="s">
        <v>168</v>
      </c>
      <c r="AT3" s="257" t="s">
        <v>146</v>
      </c>
      <c r="AU3" s="257" t="s">
        <v>169</v>
      </c>
      <c r="AV3" s="257" t="s">
        <v>170</v>
      </c>
      <c r="AW3" s="257" t="s">
        <v>171</v>
      </c>
      <c r="AX3" s="257" t="s">
        <v>172</v>
      </c>
      <c r="AY3" s="257" t="s">
        <v>173</v>
      </c>
      <c r="AZ3" s="257" t="s">
        <v>174</v>
      </c>
      <c r="BA3" s="257" t="s">
        <v>175</v>
      </c>
      <c r="BB3" s="257" t="s">
        <v>176</v>
      </c>
      <c r="BC3" s="257" t="s">
        <v>177</v>
      </c>
      <c r="BD3" s="257" t="s">
        <v>178</v>
      </c>
      <c r="BE3" s="257" t="s">
        <v>179</v>
      </c>
      <c r="BF3" s="257" t="s">
        <v>180</v>
      </c>
      <c r="BG3" s="257" t="s">
        <v>181</v>
      </c>
      <c r="BH3" s="257" t="s">
        <v>182</v>
      </c>
      <c r="BI3" s="257" t="s">
        <v>183</v>
      </c>
      <c r="BJ3" s="257" t="s">
        <v>184</v>
      </c>
      <c r="BK3" s="257" t="s">
        <v>185</v>
      </c>
      <c r="BL3" s="280" t="s">
        <v>186</v>
      </c>
      <c r="BM3" s="280" t="s">
        <v>187</v>
      </c>
      <c r="BN3" s="257" t="s">
        <v>188</v>
      </c>
      <c r="BO3" s="257" t="s">
        <v>189</v>
      </c>
      <c r="BP3" s="257" t="s">
        <v>190</v>
      </c>
      <c r="BQ3" s="257" t="s">
        <v>191</v>
      </c>
      <c r="BR3" s="257" t="s">
        <v>192</v>
      </c>
      <c r="BS3" s="257" t="s">
        <v>193</v>
      </c>
      <c r="BT3" s="257" t="s">
        <v>194</v>
      </c>
      <c r="BU3" s="257" t="s">
        <v>195</v>
      </c>
      <c r="BV3" s="257" t="s">
        <v>196</v>
      </c>
      <c r="BW3" s="257" t="s">
        <v>197</v>
      </c>
      <c r="BX3" s="257" t="s">
        <v>198</v>
      </c>
      <c r="BY3" s="257" t="s">
        <v>199</v>
      </c>
      <c r="BZ3" s="257" t="s">
        <v>200</v>
      </c>
      <c r="CA3" s="257" t="s">
        <v>201</v>
      </c>
      <c r="CB3" s="257" t="s">
        <v>202</v>
      </c>
      <c r="CC3" s="257" t="s">
        <v>203</v>
      </c>
      <c r="CD3" s="257" t="s">
        <v>204</v>
      </c>
      <c r="CE3" s="257" t="s">
        <v>205</v>
      </c>
      <c r="CF3" s="257" t="s">
        <v>206</v>
      </c>
      <c r="CG3" s="257" t="s">
        <v>207</v>
      </c>
      <c r="CH3" s="257" t="s">
        <v>208</v>
      </c>
      <c r="CI3" s="257" t="s">
        <v>209</v>
      </c>
      <c r="CJ3" s="257" t="s">
        <v>210</v>
      </c>
      <c r="CK3" s="257" t="s">
        <v>211</v>
      </c>
      <c r="CL3" s="257" t="s">
        <v>212</v>
      </c>
      <c r="CM3" s="257" t="s">
        <v>213</v>
      </c>
      <c r="CN3" s="257" t="s">
        <v>214</v>
      </c>
      <c r="CO3" s="257" t="s">
        <v>215</v>
      </c>
      <c r="CP3" s="257" t="s">
        <v>216</v>
      </c>
      <c r="CQ3" s="257" t="s">
        <v>217</v>
      </c>
      <c r="CR3" s="257" t="s">
        <v>218</v>
      </c>
      <c r="CS3" s="257" t="s">
        <v>219</v>
      </c>
      <c r="CT3" s="257" t="s">
        <v>220</v>
      </c>
      <c r="CU3" s="257" t="s">
        <v>221</v>
      </c>
      <c r="CV3" s="257" t="s">
        <v>222</v>
      </c>
      <c r="CW3" s="257" t="s">
        <v>223</v>
      </c>
      <c r="CX3" s="257" t="s">
        <v>224</v>
      </c>
      <c r="CY3" s="257" t="s">
        <v>225</v>
      </c>
      <c r="CZ3" s="257" t="s">
        <v>226</v>
      </c>
      <c r="DA3" s="257" t="s">
        <v>227</v>
      </c>
      <c r="DB3" s="257" t="s">
        <v>228</v>
      </c>
      <c r="DC3" s="257" t="s">
        <v>229</v>
      </c>
      <c r="DD3" s="257" t="s">
        <v>230</v>
      </c>
      <c r="DE3" s="257" t="s">
        <v>231</v>
      </c>
      <c r="DF3" s="264" t="s">
        <v>232</v>
      </c>
      <c r="DG3" s="264" t="s">
        <v>233</v>
      </c>
      <c r="DH3" s="264" t="s">
        <v>234</v>
      </c>
      <c r="DI3" s="264"/>
      <c r="DJ3" s="257" t="s">
        <v>235</v>
      </c>
      <c r="DK3" s="257" t="s">
        <v>236</v>
      </c>
      <c r="DL3" s="257" t="s">
        <v>237</v>
      </c>
      <c r="DM3" s="257" t="s">
        <v>238</v>
      </c>
      <c r="DN3" s="257" t="s">
        <v>239</v>
      </c>
      <c r="DO3" s="257" t="s">
        <v>240</v>
      </c>
    </row>
    <row r="4" s="257" customFormat="1" spans="1:119">
      <c r="A4" s="265" t="s">
        <v>31</v>
      </c>
      <c r="B4" s="266">
        <v>1246797996.19</v>
      </c>
      <c r="C4" s="266">
        <v>1246797996.19</v>
      </c>
      <c r="D4" s="266"/>
      <c r="E4" s="266"/>
      <c r="F4" s="266"/>
      <c r="G4" s="266"/>
      <c r="H4" s="266"/>
      <c r="I4" s="266">
        <v>-277940541.9</v>
      </c>
      <c r="J4" s="266">
        <v>3825800.79</v>
      </c>
      <c r="K4" s="266">
        <v>0</v>
      </c>
      <c r="L4" s="266">
        <v>271313573.5</v>
      </c>
      <c r="M4" s="266">
        <v>300161099.84</v>
      </c>
      <c r="N4" s="266">
        <v>-10772929.07</v>
      </c>
      <c r="O4" s="266">
        <v>0</v>
      </c>
      <c r="P4" s="266">
        <v>933.83</v>
      </c>
      <c r="Q4" s="266">
        <v>574.22</v>
      </c>
      <c r="R4" s="266">
        <v>-743374.73</v>
      </c>
      <c r="S4" s="266">
        <v>181.13</v>
      </c>
      <c r="T4" s="266">
        <v>960952678.58</v>
      </c>
      <c r="U4" s="266">
        <v>9393.96</v>
      </c>
      <c r="V4" s="266">
        <v>72342051.42</v>
      </c>
      <c r="W4" s="266">
        <v>42704118.94</v>
      </c>
      <c r="X4" s="266">
        <v>66995208.78</v>
      </c>
      <c r="Y4" s="266">
        <v>6400073.32</v>
      </c>
      <c r="Z4" s="266">
        <v>78321325.94</v>
      </c>
      <c r="AA4" s="266">
        <v>4541401.14</v>
      </c>
      <c r="AB4" s="266">
        <v>566037.73</v>
      </c>
      <c r="AC4" s="266">
        <v>242154427.53</v>
      </c>
      <c r="AD4" s="266">
        <v>30109452.88</v>
      </c>
      <c r="AE4" s="266">
        <v>23250521.3</v>
      </c>
      <c r="AF4" s="266">
        <v>4080660.4</v>
      </c>
      <c r="AG4" s="266">
        <v>0</v>
      </c>
      <c r="AH4" s="266">
        <v>0</v>
      </c>
      <c r="AI4" s="266">
        <v>0</v>
      </c>
      <c r="AJ4" s="266">
        <v>5026035.69</v>
      </c>
      <c r="AK4" s="266">
        <v>14098608.09</v>
      </c>
      <c r="AL4" s="266">
        <v>-48130390.66</v>
      </c>
      <c r="AM4" s="266">
        <v>18232817.81</v>
      </c>
      <c r="AN4" s="266">
        <v>933.83</v>
      </c>
      <c r="AO4" s="266">
        <v>0</v>
      </c>
      <c r="AP4" s="266">
        <v>6013266.21</v>
      </c>
      <c r="AQ4" s="266">
        <v>385325.44</v>
      </c>
      <c r="AR4" s="266">
        <v>400899347.94</v>
      </c>
      <c r="AS4" s="266">
        <v>12824.82</v>
      </c>
      <c r="AT4" s="266">
        <v>553641914.17</v>
      </c>
      <c r="AU4" s="266">
        <v>23607289.3</v>
      </c>
      <c r="AV4" s="266">
        <v>26943926.92</v>
      </c>
      <c r="AW4" s="266">
        <v>24547132.8</v>
      </c>
      <c r="AX4" s="266">
        <v>18874642.42</v>
      </c>
      <c r="AY4" s="266">
        <v>27650664.99</v>
      </c>
      <c r="AZ4" s="266">
        <v>24464993.98</v>
      </c>
      <c r="BA4" s="266">
        <v>8130344.96</v>
      </c>
      <c r="BB4" s="266">
        <v>29053991.37</v>
      </c>
      <c r="BC4" s="266">
        <v>10822692.4</v>
      </c>
      <c r="BD4" s="266">
        <v>8020840.4</v>
      </c>
      <c r="BE4" s="266">
        <v>23514461.66</v>
      </c>
      <c r="BF4" s="266">
        <v>82594114.47</v>
      </c>
      <c r="BG4" s="266">
        <v>11891775.65</v>
      </c>
      <c r="BH4" s="266">
        <v>9492174.15</v>
      </c>
      <c r="BI4" s="266">
        <v>7994652.08</v>
      </c>
      <c r="BJ4" s="266">
        <v>7555703.51</v>
      </c>
      <c r="BK4" s="266">
        <v>7612952.82</v>
      </c>
      <c r="BL4" s="266">
        <v>8469187.49</v>
      </c>
      <c r="BM4" s="266">
        <v>7434154.2</v>
      </c>
      <c r="BN4" s="266">
        <v>4738409.22</v>
      </c>
      <c r="BO4" s="266">
        <v>6529492.85</v>
      </c>
      <c r="BP4" s="266">
        <v>9086955.36</v>
      </c>
      <c r="BQ4" s="266">
        <v>2839196.45</v>
      </c>
      <c r="BR4" s="266">
        <v>3777226.96</v>
      </c>
      <c r="BS4" s="266">
        <v>1893291.04</v>
      </c>
      <c r="BT4" s="266">
        <v>3277167.04</v>
      </c>
      <c r="BU4" s="266">
        <v>1744272.73</v>
      </c>
      <c r="BV4" s="266">
        <v>3965182.79</v>
      </c>
      <c r="BW4" s="266">
        <v>2195993.76</v>
      </c>
      <c r="BX4" s="266">
        <v>239295.86</v>
      </c>
      <c r="BY4" s="266">
        <v>727696.06</v>
      </c>
      <c r="BZ4" s="266">
        <v>1801527.55</v>
      </c>
      <c r="CA4" s="266">
        <v>924687.84</v>
      </c>
      <c r="CB4" s="266">
        <v>1379231.6</v>
      </c>
      <c r="CC4" s="266">
        <v>2425261.03</v>
      </c>
      <c r="CD4" s="266">
        <v>3279313.29</v>
      </c>
      <c r="CE4" s="266">
        <v>114038098.98</v>
      </c>
      <c r="CF4" s="266">
        <v>776361.3</v>
      </c>
      <c r="CG4" s="266">
        <v>249394.37</v>
      </c>
      <c r="CH4" s="266">
        <v>411722.73</v>
      </c>
      <c r="CI4" s="266">
        <v>404392.33</v>
      </c>
      <c r="CJ4" s="266">
        <v>1235415.38</v>
      </c>
      <c r="CK4" s="266">
        <v>829625.26</v>
      </c>
      <c r="CL4" s="266">
        <v>315642.14</v>
      </c>
      <c r="CM4" s="266">
        <v>400993.32</v>
      </c>
      <c r="CN4" s="266">
        <v>236892.96</v>
      </c>
      <c r="CO4" s="266">
        <v>449405.42</v>
      </c>
      <c r="CP4" s="266">
        <v>139821.86</v>
      </c>
      <c r="CQ4" s="266">
        <v>439966.34</v>
      </c>
      <c r="CR4" s="266">
        <v>404134.24</v>
      </c>
      <c r="CS4" s="266">
        <v>597112.15</v>
      </c>
      <c r="CT4" s="266">
        <v>983624.83</v>
      </c>
      <c r="CU4" s="266">
        <v>486987.63</v>
      </c>
      <c r="CV4" s="266">
        <v>472402.99</v>
      </c>
      <c r="CW4" s="266">
        <v>92285.65</v>
      </c>
      <c r="CX4" s="266">
        <v>67576.01</v>
      </c>
      <c r="CY4" s="266">
        <v>304192.76</v>
      </c>
      <c r="CZ4" s="266">
        <v>132163.97</v>
      </c>
      <c r="DA4" s="266">
        <v>255977.5</v>
      </c>
      <c r="DB4" s="266">
        <v>1139020.76</v>
      </c>
      <c r="DC4" s="266">
        <v>3924443.93</v>
      </c>
      <c r="DD4" s="266">
        <v>1771676.76</v>
      </c>
      <c r="DE4" s="266">
        <v>312122.17</v>
      </c>
      <c r="DF4" s="266">
        <v>228474.05</v>
      </c>
      <c r="DG4" s="266">
        <v>2296609.2</v>
      </c>
      <c r="DH4" s="266">
        <v>745480.18</v>
      </c>
      <c r="DI4" s="266"/>
      <c r="DJ4" s="257">
        <v>0</v>
      </c>
      <c r="DK4" s="257">
        <v>0</v>
      </c>
      <c r="DL4" s="257">
        <v>0</v>
      </c>
      <c r="DM4" s="257">
        <v>0</v>
      </c>
      <c r="DN4" s="257">
        <v>0</v>
      </c>
      <c r="DO4" s="257">
        <v>0</v>
      </c>
    </row>
    <row r="5" s="257" customFormat="1" spans="1:119">
      <c r="A5" s="263" t="s">
        <v>241</v>
      </c>
      <c r="B5" s="266">
        <v>807669141.73</v>
      </c>
      <c r="C5" s="267">
        <v>807669141.73</v>
      </c>
      <c r="D5" s="267"/>
      <c r="E5" s="267"/>
      <c r="F5" s="267"/>
      <c r="G5" s="267"/>
      <c r="H5" s="268"/>
      <c r="I5" s="267">
        <v>-960354.84</v>
      </c>
      <c r="J5" s="267">
        <v>-50</v>
      </c>
      <c r="K5" s="267">
        <v>0</v>
      </c>
      <c r="L5" s="267">
        <v>1328097.8</v>
      </c>
      <c r="M5" s="266">
        <v>300173393.42</v>
      </c>
      <c r="N5" s="267">
        <v>69615667.05</v>
      </c>
      <c r="O5" s="267">
        <v>0</v>
      </c>
      <c r="P5" s="267">
        <v>-1323</v>
      </c>
      <c r="Q5" s="267">
        <v>-200</v>
      </c>
      <c r="R5" s="267">
        <v>0</v>
      </c>
      <c r="S5" s="267">
        <v>0</v>
      </c>
      <c r="T5" s="267">
        <v>437513911.3</v>
      </c>
      <c r="U5" s="267">
        <v>-2722</v>
      </c>
      <c r="V5" s="267">
        <v>-2092352.16</v>
      </c>
      <c r="W5" s="267">
        <v>449350.28</v>
      </c>
      <c r="X5" s="267">
        <v>214406.36</v>
      </c>
      <c r="Y5" s="267">
        <v>-19217.94</v>
      </c>
      <c r="Z5" s="267">
        <v>0</v>
      </c>
      <c r="AA5" s="267">
        <v>2778633.26</v>
      </c>
      <c r="AB5" s="267">
        <v>566037.73</v>
      </c>
      <c r="AC5" s="267">
        <v>242166721.11</v>
      </c>
      <c r="AD5" s="267">
        <v>30109452.88</v>
      </c>
      <c r="AE5" s="267">
        <v>23250521.3</v>
      </c>
      <c r="AF5" s="267">
        <v>4080660.4</v>
      </c>
      <c r="AG5" s="267">
        <v>0</v>
      </c>
      <c r="AH5" s="267">
        <v>0</v>
      </c>
      <c r="AI5" s="267">
        <v>0</v>
      </c>
      <c r="AJ5" s="267">
        <v>3060893.34</v>
      </c>
      <c r="AK5" s="267">
        <v>15165015.81</v>
      </c>
      <c r="AL5" s="267">
        <v>36419055.28</v>
      </c>
      <c r="AM5" s="267">
        <v>14970702.62</v>
      </c>
      <c r="AN5" s="267">
        <v>-1323</v>
      </c>
      <c r="AO5" s="257">
        <v>0</v>
      </c>
      <c r="AP5" s="257">
        <v>2676272.45</v>
      </c>
      <c r="AQ5" s="257">
        <v>385325.44</v>
      </c>
      <c r="AR5" s="257">
        <v>23708.4</v>
      </c>
      <c r="AS5" s="257">
        <v>12824.82</v>
      </c>
      <c r="AT5" s="257">
        <v>434415780.19</v>
      </c>
      <c r="AU5" s="257">
        <v>18000234.11</v>
      </c>
      <c r="AV5" s="257">
        <v>18530380.29</v>
      </c>
      <c r="AW5" s="257">
        <v>17661125.26</v>
      </c>
      <c r="AX5" s="257">
        <v>14733394.6</v>
      </c>
      <c r="AY5" s="257">
        <v>21999067.46</v>
      </c>
      <c r="AZ5" s="257">
        <v>19126428.71</v>
      </c>
      <c r="BA5" s="257">
        <v>6740242.68</v>
      </c>
      <c r="BB5" s="257">
        <v>23682772.06</v>
      </c>
      <c r="BC5" s="257">
        <v>7340046.26</v>
      </c>
      <c r="BD5" s="257">
        <v>5726995.64</v>
      </c>
      <c r="BE5" s="257">
        <v>17768742.16</v>
      </c>
      <c r="BF5" s="257">
        <v>68371489.33</v>
      </c>
      <c r="BG5" s="257">
        <v>8781978.82</v>
      </c>
      <c r="BH5" s="257">
        <v>6495481.24</v>
      </c>
      <c r="BI5" s="257">
        <v>6198322.49</v>
      </c>
      <c r="BJ5" s="257">
        <v>6257221.77</v>
      </c>
      <c r="BK5" s="257">
        <v>6065145.72</v>
      </c>
      <c r="BL5" s="257">
        <v>6908589.69</v>
      </c>
      <c r="BM5" s="257">
        <v>5960357.78</v>
      </c>
      <c r="BN5" s="257">
        <v>3745110.37</v>
      </c>
      <c r="BO5" s="257">
        <v>5184593.25</v>
      </c>
      <c r="BP5" s="257">
        <v>7114104.97</v>
      </c>
      <c r="BQ5" s="257">
        <v>2039341.97</v>
      </c>
      <c r="BR5" s="257">
        <v>2955919.93</v>
      </c>
      <c r="BS5" s="257">
        <v>1513931.34</v>
      </c>
      <c r="BT5" s="257">
        <v>2480089.66</v>
      </c>
      <c r="BU5" s="257">
        <v>1406922.9</v>
      </c>
      <c r="BV5" s="257">
        <v>2937256.19</v>
      </c>
      <c r="BW5" s="257">
        <v>1734194.42</v>
      </c>
      <c r="BX5" s="257">
        <v>-487864.45</v>
      </c>
      <c r="BY5" s="257">
        <v>526379.1</v>
      </c>
      <c r="BZ5" s="257">
        <v>1475258.69</v>
      </c>
      <c r="CA5" s="257">
        <v>675359.9</v>
      </c>
      <c r="CB5" s="257">
        <v>1142171.8</v>
      </c>
      <c r="CC5" s="257">
        <v>1660478.91</v>
      </c>
      <c r="CD5" s="257">
        <v>1892518.27</v>
      </c>
      <c r="CE5" s="257">
        <v>97494840.54</v>
      </c>
      <c r="CF5" s="257">
        <v>503794.79</v>
      </c>
      <c r="CG5" s="257">
        <v>82026.07</v>
      </c>
      <c r="CH5" s="257">
        <v>344012.89</v>
      </c>
      <c r="CI5" s="257">
        <v>330636.73</v>
      </c>
      <c r="CJ5" s="257">
        <v>345802.42</v>
      </c>
      <c r="CK5" s="257">
        <v>524737.98</v>
      </c>
      <c r="CL5" s="257">
        <v>213060.53</v>
      </c>
      <c r="CM5" s="257">
        <v>227813.41</v>
      </c>
      <c r="CN5" s="257">
        <v>134449.75</v>
      </c>
      <c r="CO5" s="257">
        <v>144919.64</v>
      </c>
      <c r="CP5" s="257">
        <v>58473.66</v>
      </c>
      <c r="CQ5" s="257">
        <v>334598.08</v>
      </c>
      <c r="CR5" s="257">
        <v>318863.07</v>
      </c>
      <c r="CS5" s="257">
        <v>337342.11</v>
      </c>
      <c r="CT5" s="257">
        <v>774984.26</v>
      </c>
      <c r="CU5" s="257">
        <v>364427.69</v>
      </c>
      <c r="CV5" s="257">
        <v>187206.94</v>
      </c>
      <c r="CW5" s="257">
        <v>69599.78</v>
      </c>
      <c r="CX5" s="257">
        <v>54778.13</v>
      </c>
      <c r="CY5" s="257">
        <v>160589.9</v>
      </c>
      <c r="CZ5" s="257">
        <v>107911.48</v>
      </c>
      <c r="DA5" s="257">
        <v>214909.96</v>
      </c>
      <c r="DB5" s="257">
        <v>850328.79</v>
      </c>
      <c r="DC5" s="257">
        <v>2648066.42</v>
      </c>
      <c r="DD5" s="257">
        <v>1564367.01</v>
      </c>
      <c r="DE5" s="257">
        <v>253498.11</v>
      </c>
      <c r="DF5" s="257">
        <v>172261.45</v>
      </c>
      <c r="DG5" s="257">
        <v>645959.08</v>
      </c>
      <c r="DH5" s="257">
        <v>607736.23</v>
      </c>
      <c r="DJ5" s="257">
        <v>0</v>
      </c>
      <c r="DK5" s="257">
        <v>0</v>
      </c>
      <c r="DL5" s="257">
        <v>0</v>
      </c>
      <c r="DM5" s="257">
        <v>0</v>
      </c>
      <c r="DN5" s="257">
        <v>0</v>
      </c>
      <c r="DO5" s="257">
        <v>0</v>
      </c>
    </row>
    <row r="6" s="257" customFormat="1" spans="1:119">
      <c r="A6" s="263" t="s">
        <v>33</v>
      </c>
      <c r="B6" s="266">
        <v>436274942.1</v>
      </c>
      <c r="C6" s="267">
        <v>436274942.1</v>
      </c>
      <c r="D6" s="267"/>
      <c r="E6" s="267"/>
      <c r="F6" s="267"/>
      <c r="G6" s="267"/>
      <c r="H6" s="268"/>
      <c r="I6" s="267">
        <v>-458779.24</v>
      </c>
      <c r="J6" s="267">
        <v>-50</v>
      </c>
      <c r="K6" s="267">
        <v>0</v>
      </c>
      <c r="L6" s="267">
        <v>195188.42</v>
      </c>
      <c r="M6" s="266">
        <v>0</v>
      </c>
      <c r="N6" s="267">
        <v>908117.07</v>
      </c>
      <c r="O6" s="267">
        <v>0</v>
      </c>
      <c r="P6" s="267">
        <v>0</v>
      </c>
      <c r="Q6" s="267">
        <v>0</v>
      </c>
      <c r="R6" s="267">
        <v>0</v>
      </c>
      <c r="S6" s="267">
        <v>0</v>
      </c>
      <c r="T6" s="267">
        <v>435630465.85</v>
      </c>
      <c r="U6" s="267">
        <v>0</v>
      </c>
      <c r="V6" s="267">
        <v>0</v>
      </c>
      <c r="W6" s="267">
        <v>0</v>
      </c>
      <c r="X6" s="267">
        <v>214406.36</v>
      </c>
      <c r="Y6" s="267">
        <v>-19217.94</v>
      </c>
      <c r="Z6" s="267">
        <v>0</v>
      </c>
      <c r="AA6" s="267">
        <v>0</v>
      </c>
      <c r="AB6" s="267">
        <v>0</v>
      </c>
      <c r="AC6" s="267">
        <v>0</v>
      </c>
      <c r="AD6" s="267">
        <v>0</v>
      </c>
      <c r="AE6" s="267">
        <v>0</v>
      </c>
      <c r="AF6" s="267">
        <v>0</v>
      </c>
      <c r="AG6" s="267">
        <v>0</v>
      </c>
      <c r="AH6" s="267">
        <v>0</v>
      </c>
      <c r="AI6" s="267">
        <v>0</v>
      </c>
      <c r="AJ6" s="267">
        <v>493132.9</v>
      </c>
      <c r="AK6" s="267">
        <v>414984.17</v>
      </c>
      <c r="AL6" s="267">
        <v>0</v>
      </c>
      <c r="AM6" s="267">
        <v>0</v>
      </c>
      <c r="AN6" s="267">
        <v>0</v>
      </c>
      <c r="AO6" s="257">
        <v>0</v>
      </c>
      <c r="AP6" s="257">
        <v>2488633.68</v>
      </c>
      <c r="AQ6" s="257">
        <v>385325.44</v>
      </c>
      <c r="AR6" s="257">
        <v>23708.4</v>
      </c>
      <c r="AS6" s="257">
        <v>12824.82</v>
      </c>
      <c r="AT6" s="257">
        <v>432719973.51</v>
      </c>
      <c r="AU6" s="257">
        <v>17959515.81</v>
      </c>
      <c r="AV6" s="257">
        <v>18486507.66</v>
      </c>
      <c r="AW6" s="257">
        <v>17634550.65</v>
      </c>
      <c r="AX6" s="257">
        <v>13649428.36</v>
      </c>
      <c r="AY6" s="257">
        <v>21712888.33</v>
      </c>
      <c r="AZ6" s="257">
        <v>19112367.16</v>
      </c>
      <c r="BA6" s="257">
        <v>6740109.84</v>
      </c>
      <c r="BB6" s="257">
        <v>23682505.35</v>
      </c>
      <c r="BC6" s="257">
        <v>7340830.22</v>
      </c>
      <c r="BD6" s="257">
        <v>5726466.02</v>
      </c>
      <c r="BE6" s="257">
        <v>17762212.8</v>
      </c>
      <c r="BF6" s="257">
        <v>68369957.25</v>
      </c>
      <c r="BG6" s="257">
        <v>8775003.53</v>
      </c>
      <c r="BH6" s="257">
        <v>6478017.84</v>
      </c>
      <c r="BI6" s="257">
        <v>6180651.35</v>
      </c>
      <c r="BJ6" s="257">
        <v>6250513.28</v>
      </c>
      <c r="BK6" s="257">
        <v>6076067.35</v>
      </c>
      <c r="BL6" s="257">
        <v>6899397.14</v>
      </c>
      <c r="BM6" s="257">
        <v>5959988.81</v>
      </c>
      <c r="BN6" s="257">
        <v>3745563.2</v>
      </c>
      <c r="BO6" s="257">
        <v>5176383.97</v>
      </c>
      <c r="BP6" s="257">
        <v>7112868.54</v>
      </c>
      <c r="BQ6" s="257">
        <v>2039448.58</v>
      </c>
      <c r="BR6" s="257">
        <v>2954934.08</v>
      </c>
      <c r="BS6" s="257">
        <v>1514818.13</v>
      </c>
      <c r="BT6" s="257">
        <v>2473493.44</v>
      </c>
      <c r="BU6" s="257">
        <v>1406076.29</v>
      </c>
      <c r="BV6" s="257">
        <v>2937439.67</v>
      </c>
      <c r="BW6" s="257">
        <v>1733766.11</v>
      </c>
      <c r="BX6" s="257">
        <v>-501831.44</v>
      </c>
      <c r="BY6" s="257">
        <v>526388.53</v>
      </c>
      <c r="BZ6" s="257">
        <v>1475853.97</v>
      </c>
      <c r="CA6" s="257">
        <v>675712.35</v>
      </c>
      <c r="CB6" s="257">
        <v>1143367.62</v>
      </c>
      <c r="CC6" s="257">
        <v>1660239.18</v>
      </c>
      <c r="CD6" s="257">
        <v>1894396.95</v>
      </c>
      <c r="CE6" s="257">
        <v>97487652.31</v>
      </c>
      <c r="CF6" s="257">
        <v>506658.17</v>
      </c>
      <c r="CG6" s="257">
        <v>82013.07</v>
      </c>
      <c r="CH6" s="257">
        <v>345792.89</v>
      </c>
      <c r="CI6" s="257">
        <v>331765.86</v>
      </c>
      <c r="CJ6" s="257">
        <v>346400.53</v>
      </c>
      <c r="CK6" s="257">
        <v>525235.45</v>
      </c>
      <c r="CL6" s="257">
        <v>213988.88</v>
      </c>
      <c r="CM6" s="257">
        <v>229443.41</v>
      </c>
      <c r="CN6" s="257">
        <v>135135.79</v>
      </c>
      <c r="CO6" s="257">
        <v>145899.64</v>
      </c>
      <c r="CP6" s="257">
        <v>58873.66</v>
      </c>
      <c r="CQ6" s="257">
        <v>336093.81</v>
      </c>
      <c r="CR6" s="257">
        <v>319399.48</v>
      </c>
      <c r="CS6" s="257">
        <v>337322.97</v>
      </c>
      <c r="CT6" s="257">
        <v>775983.29</v>
      </c>
      <c r="CU6" s="257">
        <v>364631.72</v>
      </c>
      <c r="CV6" s="257">
        <v>188190.83</v>
      </c>
      <c r="CW6" s="257">
        <v>70525.78</v>
      </c>
      <c r="CX6" s="257">
        <v>55914.13</v>
      </c>
      <c r="CY6" s="257">
        <v>162372.9</v>
      </c>
      <c r="CZ6" s="257">
        <v>108850.48</v>
      </c>
      <c r="DA6" s="257">
        <v>216009.96</v>
      </c>
      <c r="DB6" s="257">
        <v>850542.94</v>
      </c>
      <c r="DC6" s="257">
        <v>2530646.79</v>
      </c>
      <c r="DD6" s="257">
        <v>1546551.42</v>
      </c>
      <c r="DE6" s="257">
        <v>254248.11</v>
      </c>
      <c r="DF6" s="257">
        <v>173258.44</v>
      </c>
      <c r="DG6" s="257">
        <v>646189.08</v>
      </c>
      <c r="DH6" s="257">
        <v>608483.8</v>
      </c>
      <c r="DJ6" s="257">
        <v>0</v>
      </c>
      <c r="DK6" s="257">
        <v>0</v>
      </c>
      <c r="DL6" s="257">
        <v>0</v>
      </c>
      <c r="DM6" s="257">
        <v>0</v>
      </c>
      <c r="DN6" s="257">
        <v>0</v>
      </c>
      <c r="DO6" s="257">
        <v>0</v>
      </c>
    </row>
    <row r="7" s="257" customFormat="1" spans="1:119">
      <c r="A7" s="263" t="s">
        <v>242</v>
      </c>
      <c r="B7" s="266">
        <v>298645091.53</v>
      </c>
      <c r="C7" s="267">
        <v>298645091.53</v>
      </c>
      <c r="D7" s="267"/>
      <c r="E7" s="267"/>
      <c r="F7" s="267"/>
      <c r="G7" s="267"/>
      <c r="H7" s="268"/>
      <c r="I7" s="267">
        <v>0</v>
      </c>
      <c r="J7" s="267">
        <v>0</v>
      </c>
      <c r="K7" s="267">
        <v>0</v>
      </c>
      <c r="L7" s="267">
        <v>0</v>
      </c>
      <c r="M7" s="266">
        <v>298645091.53</v>
      </c>
      <c r="N7" s="267">
        <v>0</v>
      </c>
      <c r="O7" s="267">
        <v>0</v>
      </c>
      <c r="P7" s="267">
        <v>0</v>
      </c>
      <c r="Q7" s="267">
        <v>0</v>
      </c>
      <c r="R7" s="267">
        <v>0</v>
      </c>
      <c r="S7" s="267">
        <v>0</v>
      </c>
      <c r="T7" s="267">
        <v>0</v>
      </c>
      <c r="U7" s="267">
        <v>0</v>
      </c>
      <c r="V7" s="267">
        <v>0</v>
      </c>
      <c r="W7" s="267">
        <v>0</v>
      </c>
      <c r="X7" s="267">
        <v>0</v>
      </c>
      <c r="Y7" s="267">
        <v>0</v>
      </c>
      <c r="Z7" s="267">
        <v>0</v>
      </c>
      <c r="AA7" s="267">
        <v>0</v>
      </c>
      <c r="AB7" s="267">
        <v>566037.73</v>
      </c>
      <c r="AC7" s="267">
        <v>240638419.22</v>
      </c>
      <c r="AD7" s="267">
        <v>30109452.88</v>
      </c>
      <c r="AE7" s="267">
        <v>23250521.3</v>
      </c>
      <c r="AF7" s="267">
        <v>4080660.4</v>
      </c>
      <c r="AG7" s="267">
        <v>0</v>
      </c>
      <c r="AH7" s="267">
        <v>0</v>
      </c>
      <c r="AI7" s="267">
        <v>0</v>
      </c>
      <c r="AJ7" s="267">
        <v>0</v>
      </c>
      <c r="AK7" s="267">
        <v>0</v>
      </c>
      <c r="AL7" s="267">
        <v>0</v>
      </c>
      <c r="AM7" s="267">
        <v>0</v>
      </c>
      <c r="AN7" s="267">
        <v>0</v>
      </c>
      <c r="AO7" s="257">
        <v>0</v>
      </c>
      <c r="AP7" s="257">
        <v>0</v>
      </c>
      <c r="AQ7" s="257">
        <v>0</v>
      </c>
      <c r="AR7" s="257">
        <v>0</v>
      </c>
      <c r="AS7" s="257">
        <v>0</v>
      </c>
      <c r="AT7" s="257">
        <v>0</v>
      </c>
      <c r="AU7" s="257">
        <v>0</v>
      </c>
      <c r="AV7" s="257">
        <v>0</v>
      </c>
      <c r="AW7" s="257">
        <v>0</v>
      </c>
      <c r="AX7" s="257">
        <v>0</v>
      </c>
      <c r="AY7" s="257">
        <v>0</v>
      </c>
      <c r="AZ7" s="257">
        <v>0</v>
      </c>
      <c r="BA7" s="257">
        <v>0</v>
      </c>
      <c r="BB7" s="257">
        <v>0</v>
      </c>
      <c r="BC7" s="257">
        <v>0</v>
      </c>
      <c r="BD7" s="257">
        <v>0</v>
      </c>
      <c r="BE7" s="257">
        <v>0</v>
      </c>
      <c r="BF7" s="257">
        <v>0</v>
      </c>
      <c r="BG7" s="257">
        <v>0</v>
      </c>
      <c r="BH7" s="257">
        <v>0</v>
      </c>
      <c r="BI7" s="257">
        <v>0</v>
      </c>
      <c r="BJ7" s="257">
        <v>0</v>
      </c>
      <c r="BK7" s="257">
        <v>0</v>
      </c>
      <c r="BL7" s="257">
        <v>0</v>
      </c>
      <c r="BM7" s="257">
        <v>0</v>
      </c>
      <c r="BN7" s="257">
        <v>0</v>
      </c>
      <c r="BO7" s="257">
        <v>0</v>
      </c>
      <c r="BP7" s="257">
        <v>0</v>
      </c>
      <c r="BQ7" s="257">
        <v>0</v>
      </c>
      <c r="BR7" s="257">
        <v>0</v>
      </c>
      <c r="BS7" s="257">
        <v>0</v>
      </c>
      <c r="BT7" s="257">
        <v>0</v>
      </c>
      <c r="BU7" s="257">
        <v>0</v>
      </c>
      <c r="BV7" s="257">
        <v>0</v>
      </c>
      <c r="BW7" s="257">
        <v>0</v>
      </c>
      <c r="BX7" s="257">
        <v>0</v>
      </c>
      <c r="BY7" s="257">
        <v>0</v>
      </c>
      <c r="BZ7" s="257">
        <v>0</v>
      </c>
      <c r="CA7" s="257">
        <v>0</v>
      </c>
      <c r="CB7" s="257">
        <v>0</v>
      </c>
      <c r="CC7" s="257">
        <v>0</v>
      </c>
      <c r="CD7" s="257">
        <v>0</v>
      </c>
      <c r="CE7" s="257">
        <v>0</v>
      </c>
      <c r="CF7" s="257">
        <v>0</v>
      </c>
      <c r="CG7" s="257">
        <v>0</v>
      </c>
      <c r="CH7" s="257">
        <v>0</v>
      </c>
      <c r="CI7" s="257">
        <v>0</v>
      </c>
      <c r="CJ7" s="257">
        <v>0</v>
      </c>
      <c r="CK7" s="257">
        <v>0</v>
      </c>
      <c r="CL7" s="257">
        <v>0</v>
      </c>
      <c r="CM7" s="257">
        <v>0</v>
      </c>
      <c r="CN7" s="257">
        <v>0</v>
      </c>
      <c r="CO7" s="257">
        <v>0</v>
      </c>
      <c r="CP7" s="257">
        <v>0</v>
      </c>
      <c r="CQ7" s="257">
        <v>0</v>
      </c>
      <c r="CR7" s="257">
        <v>0</v>
      </c>
      <c r="CS7" s="257">
        <v>0</v>
      </c>
      <c r="CT7" s="257">
        <v>0</v>
      </c>
      <c r="CU7" s="257">
        <v>0</v>
      </c>
      <c r="CV7" s="257">
        <v>0</v>
      </c>
      <c r="CW7" s="257">
        <v>0</v>
      </c>
      <c r="CX7" s="257">
        <v>0</v>
      </c>
      <c r="CY7" s="257">
        <v>0</v>
      </c>
      <c r="CZ7" s="257">
        <v>0</v>
      </c>
      <c r="DA7" s="257">
        <v>0</v>
      </c>
      <c r="DB7" s="257">
        <v>0</v>
      </c>
      <c r="DC7" s="257">
        <v>0</v>
      </c>
      <c r="DD7" s="257">
        <v>0</v>
      </c>
      <c r="DE7" s="257">
        <v>0</v>
      </c>
      <c r="DF7" s="257">
        <v>0</v>
      </c>
      <c r="DG7" s="257">
        <v>0</v>
      </c>
      <c r="DH7" s="257">
        <v>0</v>
      </c>
      <c r="DJ7" s="257">
        <v>0</v>
      </c>
      <c r="DK7" s="257">
        <v>0</v>
      </c>
      <c r="DL7" s="257">
        <v>0</v>
      </c>
      <c r="DM7" s="257">
        <v>0</v>
      </c>
      <c r="DN7" s="257">
        <v>0</v>
      </c>
      <c r="DO7" s="257">
        <v>0</v>
      </c>
    </row>
    <row r="8" s="257" customFormat="1" spans="1:119">
      <c r="A8" s="263" t="s">
        <v>243</v>
      </c>
      <c r="B8" s="266">
        <v>70244462.61</v>
      </c>
      <c r="C8" s="267">
        <v>70244462.61</v>
      </c>
      <c r="D8" s="267"/>
      <c r="E8" s="267"/>
      <c r="F8" s="267"/>
      <c r="G8" s="267"/>
      <c r="H8" s="268"/>
      <c r="I8" s="267">
        <v>0</v>
      </c>
      <c r="J8" s="267">
        <v>0</v>
      </c>
      <c r="K8" s="267">
        <v>0</v>
      </c>
      <c r="L8" s="267">
        <v>0</v>
      </c>
      <c r="M8" s="266">
        <v>1528301.89</v>
      </c>
      <c r="N8" s="267">
        <v>68716160.72</v>
      </c>
      <c r="O8" s="267">
        <v>0</v>
      </c>
      <c r="P8" s="267">
        <v>0</v>
      </c>
      <c r="Q8" s="267">
        <v>0</v>
      </c>
      <c r="R8" s="267">
        <v>0</v>
      </c>
      <c r="S8" s="267">
        <v>0</v>
      </c>
      <c r="T8" s="267">
        <v>0</v>
      </c>
      <c r="U8" s="267">
        <v>0</v>
      </c>
      <c r="V8" s="267">
        <v>0</v>
      </c>
      <c r="W8" s="267">
        <v>0</v>
      </c>
      <c r="X8" s="267">
        <v>0</v>
      </c>
      <c r="Y8" s="267">
        <v>0</v>
      </c>
      <c r="Z8" s="267">
        <v>0</v>
      </c>
      <c r="AA8" s="267">
        <v>0</v>
      </c>
      <c r="AB8" s="267">
        <v>0</v>
      </c>
      <c r="AC8" s="267">
        <v>1528301.89</v>
      </c>
      <c r="AD8" s="267">
        <v>0</v>
      </c>
      <c r="AE8" s="267">
        <v>0</v>
      </c>
      <c r="AF8" s="267">
        <v>0</v>
      </c>
      <c r="AG8" s="267">
        <v>0</v>
      </c>
      <c r="AH8" s="267">
        <v>0</v>
      </c>
      <c r="AI8" s="267">
        <v>0</v>
      </c>
      <c r="AJ8" s="267">
        <v>2567760.44</v>
      </c>
      <c r="AK8" s="267">
        <v>14758642.38</v>
      </c>
      <c r="AL8" s="267">
        <v>36419055.28</v>
      </c>
      <c r="AM8" s="267">
        <v>14970702.62</v>
      </c>
      <c r="AN8" s="267">
        <v>0</v>
      </c>
      <c r="AO8" s="257">
        <v>0</v>
      </c>
      <c r="AP8" s="257">
        <v>0</v>
      </c>
      <c r="AQ8" s="257">
        <v>0</v>
      </c>
      <c r="AR8" s="257">
        <v>0</v>
      </c>
      <c r="AS8" s="257">
        <v>0</v>
      </c>
      <c r="AT8" s="257">
        <v>0</v>
      </c>
      <c r="AU8" s="257">
        <v>0</v>
      </c>
      <c r="AV8" s="257">
        <v>0</v>
      </c>
      <c r="AW8" s="257">
        <v>0</v>
      </c>
      <c r="AX8" s="257">
        <v>0</v>
      </c>
      <c r="AY8" s="257">
        <v>0</v>
      </c>
      <c r="AZ8" s="257">
        <v>0</v>
      </c>
      <c r="BA8" s="257">
        <v>0</v>
      </c>
      <c r="BB8" s="257">
        <v>0</v>
      </c>
      <c r="BC8" s="257">
        <v>0</v>
      </c>
      <c r="BD8" s="257">
        <v>0</v>
      </c>
      <c r="BE8" s="257">
        <v>0</v>
      </c>
      <c r="BF8" s="257">
        <v>0</v>
      </c>
      <c r="BG8" s="257">
        <v>0</v>
      </c>
      <c r="BH8" s="257">
        <v>0</v>
      </c>
      <c r="BI8" s="257">
        <v>0</v>
      </c>
      <c r="BJ8" s="257">
        <v>0</v>
      </c>
      <c r="BK8" s="257">
        <v>0</v>
      </c>
      <c r="BL8" s="257">
        <v>0</v>
      </c>
      <c r="BM8" s="257">
        <v>0</v>
      </c>
      <c r="BN8" s="257">
        <v>0</v>
      </c>
      <c r="BO8" s="257">
        <v>0</v>
      </c>
      <c r="BP8" s="257">
        <v>0</v>
      </c>
      <c r="BQ8" s="257">
        <v>0</v>
      </c>
      <c r="BR8" s="257">
        <v>0</v>
      </c>
      <c r="BS8" s="257">
        <v>0</v>
      </c>
      <c r="BT8" s="257">
        <v>0</v>
      </c>
      <c r="BU8" s="257">
        <v>0</v>
      </c>
      <c r="BV8" s="257">
        <v>0</v>
      </c>
      <c r="BW8" s="257">
        <v>0</v>
      </c>
      <c r="BX8" s="257">
        <v>0</v>
      </c>
      <c r="BY8" s="257">
        <v>0</v>
      </c>
      <c r="BZ8" s="257">
        <v>0</v>
      </c>
      <c r="CA8" s="257">
        <v>0</v>
      </c>
      <c r="CB8" s="257">
        <v>0</v>
      </c>
      <c r="CC8" s="257">
        <v>0</v>
      </c>
      <c r="CD8" s="257">
        <v>0</v>
      </c>
      <c r="CE8" s="257">
        <v>0</v>
      </c>
      <c r="CF8" s="257">
        <v>0</v>
      </c>
      <c r="CG8" s="257">
        <v>0</v>
      </c>
      <c r="CH8" s="257">
        <v>0</v>
      </c>
      <c r="CI8" s="257">
        <v>0</v>
      </c>
      <c r="CJ8" s="257">
        <v>0</v>
      </c>
      <c r="CK8" s="257">
        <v>0</v>
      </c>
      <c r="CL8" s="257">
        <v>0</v>
      </c>
      <c r="CM8" s="257">
        <v>0</v>
      </c>
      <c r="CN8" s="257">
        <v>0</v>
      </c>
      <c r="CO8" s="257">
        <v>0</v>
      </c>
      <c r="CP8" s="257">
        <v>0</v>
      </c>
      <c r="CQ8" s="257">
        <v>0</v>
      </c>
      <c r="CR8" s="257">
        <v>0</v>
      </c>
      <c r="CS8" s="257">
        <v>0</v>
      </c>
      <c r="CT8" s="257">
        <v>0</v>
      </c>
      <c r="CU8" s="257">
        <v>0</v>
      </c>
      <c r="CV8" s="257">
        <v>0</v>
      </c>
      <c r="CW8" s="257">
        <v>0</v>
      </c>
      <c r="CX8" s="257">
        <v>0</v>
      </c>
      <c r="CY8" s="257">
        <v>0</v>
      </c>
      <c r="CZ8" s="257">
        <v>0</v>
      </c>
      <c r="DA8" s="257">
        <v>0</v>
      </c>
      <c r="DB8" s="257">
        <v>0</v>
      </c>
      <c r="DC8" s="257">
        <v>0</v>
      </c>
      <c r="DD8" s="257">
        <v>0</v>
      </c>
      <c r="DE8" s="257">
        <v>0</v>
      </c>
      <c r="DF8" s="257">
        <v>0</v>
      </c>
      <c r="DG8" s="257">
        <v>0</v>
      </c>
      <c r="DH8" s="257">
        <v>0</v>
      </c>
      <c r="DJ8" s="257">
        <v>0</v>
      </c>
      <c r="DK8" s="257">
        <v>0</v>
      </c>
      <c r="DL8" s="257">
        <v>0</v>
      </c>
      <c r="DM8" s="257">
        <v>0</v>
      </c>
      <c r="DN8" s="257">
        <v>0</v>
      </c>
      <c r="DO8" s="257">
        <v>0</v>
      </c>
    </row>
    <row r="9" s="257" customFormat="1" spans="1:119">
      <c r="A9" s="263" t="s">
        <v>244</v>
      </c>
      <c r="B9" s="266">
        <v>279140770.44</v>
      </c>
      <c r="C9" s="267">
        <v>279140770.44</v>
      </c>
      <c r="D9" s="267"/>
      <c r="E9" s="267"/>
      <c r="F9" s="267"/>
      <c r="G9" s="267"/>
      <c r="H9" s="268"/>
      <c r="I9" s="267">
        <v>-279554185.8</v>
      </c>
      <c r="J9" s="267">
        <v>3825850.79</v>
      </c>
      <c r="K9" s="267">
        <v>0</v>
      </c>
      <c r="L9" s="267">
        <v>38010657.73</v>
      </c>
      <c r="M9" s="266">
        <v>-12293.58</v>
      </c>
      <c r="N9" s="267">
        <v>427100.61</v>
      </c>
      <c r="O9" s="267">
        <v>0</v>
      </c>
      <c r="P9" s="267">
        <v>2256.83</v>
      </c>
      <c r="Q9" s="267">
        <v>774.22</v>
      </c>
      <c r="R9" s="267">
        <v>0</v>
      </c>
      <c r="S9" s="267">
        <v>0</v>
      </c>
      <c r="T9" s="267">
        <v>516440609.64</v>
      </c>
      <c r="U9" s="267">
        <v>12115.96</v>
      </c>
      <c r="V9" s="267">
        <v>213825.61</v>
      </c>
      <c r="W9" s="267">
        <v>-613282.24</v>
      </c>
      <c r="X9" s="267">
        <v>37499304.24</v>
      </c>
      <c r="Y9" s="267">
        <v>898694.16</v>
      </c>
      <c r="Z9" s="267">
        <v>0</v>
      </c>
      <c r="AA9" s="267">
        <v>0</v>
      </c>
      <c r="AB9" s="267">
        <v>0</v>
      </c>
      <c r="AC9" s="267">
        <v>-12293.58</v>
      </c>
      <c r="AD9" s="267">
        <v>0</v>
      </c>
      <c r="AE9" s="267">
        <v>0</v>
      </c>
      <c r="AF9" s="267">
        <v>0</v>
      </c>
      <c r="AG9" s="267">
        <v>0</v>
      </c>
      <c r="AH9" s="267">
        <v>0</v>
      </c>
      <c r="AI9" s="267">
        <v>0</v>
      </c>
      <c r="AJ9" s="267">
        <v>0</v>
      </c>
      <c r="AK9" s="267">
        <v>352351.96</v>
      </c>
      <c r="AL9" s="267">
        <v>74748.65</v>
      </c>
      <c r="AM9" s="267">
        <v>0</v>
      </c>
      <c r="AN9" s="267">
        <v>2256.83</v>
      </c>
      <c r="AO9" s="257">
        <v>0</v>
      </c>
      <c r="AP9" s="257">
        <v>150293.97</v>
      </c>
      <c r="AQ9" s="257">
        <v>0</v>
      </c>
      <c r="AR9" s="257">
        <v>400705497.48</v>
      </c>
      <c r="AS9" s="257">
        <v>0</v>
      </c>
      <c r="AT9" s="257">
        <v>115584818.19</v>
      </c>
      <c r="AU9" s="257">
        <v>5674756.8</v>
      </c>
      <c r="AV9" s="257">
        <v>8441223.3</v>
      </c>
      <c r="AW9" s="257">
        <v>6878569.5</v>
      </c>
      <c r="AX9" s="257">
        <v>4207179.7</v>
      </c>
      <c r="AY9" s="257">
        <v>5736929.97</v>
      </c>
      <c r="AZ9" s="257">
        <v>5402753.34</v>
      </c>
      <c r="BA9" s="257">
        <v>1390189.45</v>
      </c>
      <c r="BB9" s="257">
        <v>5415396.54</v>
      </c>
      <c r="BC9" s="257">
        <v>3510327.01</v>
      </c>
      <c r="BD9" s="257">
        <v>2311563.2</v>
      </c>
      <c r="BE9" s="257">
        <v>5136540.72</v>
      </c>
      <c r="BF9" s="257">
        <v>14244932.52</v>
      </c>
      <c r="BG9" s="257">
        <v>3372957.8</v>
      </c>
      <c r="BH9" s="257">
        <v>3104276.38</v>
      </c>
      <c r="BI9" s="257">
        <v>1796248.9</v>
      </c>
      <c r="BJ9" s="257">
        <v>1294135.42</v>
      </c>
      <c r="BK9" s="257">
        <v>1549443.63</v>
      </c>
      <c r="BL9" s="257">
        <v>1563120.17</v>
      </c>
      <c r="BM9" s="257">
        <v>1474979.77</v>
      </c>
      <c r="BN9" s="257">
        <v>992475.57</v>
      </c>
      <c r="BO9" s="257">
        <v>1345000.42</v>
      </c>
      <c r="BP9" s="257">
        <v>1981381.63</v>
      </c>
      <c r="BQ9" s="257">
        <v>799845.05</v>
      </c>
      <c r="BR9" s="257">
        <v>821265.62</v>
      </c>
      <c r="BS9" s="257">
        <v>379359.7</v>
      </c>
      <c r="BT9" s="257">
        <v>702713.62</v>
      </c>
      <c r="BU9" s="257">
        <v>337345.19</v>
      </c>
      <c r="BV9" s="257">
        <v>987031.39</v>
      </c>
      <c r="BW9" s="257">
        <v>461799.34</v>
      </c>
      <c r="BX9" s="257">
        <v>727097.67</v>
      </c>
      <c r="BY9" s="257">
        <v>201307.53</v>
      </c>
      <c r="BZ9" s="257">
        <v>326268.86</v>
      </c>
      <c r="CA9" s="257">
        <v>186434.86</v>
      </c>
      <c r="CB9" s="257">
        <v>237059.8</v>
      </c>
      <c r="CC9" s="257">
        <v>764575.64</v>
      </c>
      <c r="CD9" s="257">
        <v>569198.44</v>
      </c>
      <c r="CE9" s="257">
        <v>16366145.24</v>
      </c>
      <c r="CF9" s="257">
        <v>272547.09</v>
      </c>
      <c r="CG9" s="257">
        <v>31425.97</v>
      </c>
      <c r="CH9" s="257">
        <v>67709.84</v>
      </c>
      <c r="CI9" s="257">
        <v>53499.93</v>
      </c>
      <c r="CJ9" s="257">
        <v>170273.34</v>
      </c>
      <c r="CK9" s="257">
        <v>210547.66</v>
      </c>
      <c r="CL9" s="257">
        <v>49982.9</v>
      </c>
      <c r="CM9" s="257">
        <v>173179.91</v>
      </c>
      <c r="CN9" s="257">
        <v>102433.78</v>
      </c>
      <c r="CO9" s="257">
        <v>203343.09</v>
      </c>
      <c r="CP9" s="257">
        <v>81348.2</v>
      </c>
      <c r="CQ9" s="257">
        <v>105358.55</v>
      </c>
      <c r="CR9" s="257">
        <v>85271.17</v>
      </c>
      <c r="CS9" s="257">
        <v>259760.33</v>
      </c>
      <c r="CT9" s="257">
        <v>208630.86</v>
      </c>
      <c r="CU9" s="257">
        <v>122559.94</v>
      </c>
      <c r="CV9" s="257">
        <v>66749.44</v>
      </c>
      <c r="CW9" s="257">
        <v>22685.87</v>
      </c>
      <c r="CX9" s="257">
        <v>12797.88</v>
      </c>
      <c r="CY9" s="257">
        <v>143583.44</v>
      </c>
      <c r="CZ9" s="257">
        <v>24252.49</v>
      </c>
      <c r="DA9" s="257">
        <v>41057.54</v>
      </c>
      <c r="DB9" s="257">
        <v>288691.97</v>
      </c>
      <c r="DC9" s="257">
        <v>1276428.08</v>
      </c>
      <c r="DD9" s="257">
        <v>207321.59</v>
      </c>
      <c r="DE9" s="257">
        <v>58624.06</v>
      </c>
      <c r="DF9" s="257">
        <v>56212.6</v>
      </c>
      <c r="DG9" s="257">
        <v>358967.03</v>
      </c>
      <c r="DH9" s="257">
        <v>137743.95</v>
      </c>
      <c r="DJ9" s="257">
        <v>0</v>
      </c>
      <c r="DK9" s="257">
        <v>0</v>
      </c>
      <c r="DL9" s="257">
        <v>0</v>
      </c>
      <c r="DM9" s="257">
        <v>0</v>
      </c>
      <c r="DN9" s="257">
        <v>0</v>
      </c>
      <c r="DO9" s="257">
        <v>0</v>
      </c>
    </row>
    <row r="10" s="257" customFormat="1" spans="1:119">
      <c r="A10" s="263" t="s">
        <v>245</v>
      </c>
      <c r="B10" s="266">
        <v>89858109.04</v>
      </c>
      <c r="C10" s="267">
        <v>89858109.04</v>
      </c>
      <c r="D10" s="267"/>
      <c r="E10" s="267"/>
      <c r="F10" s="267"/>
      <c r="G10" s="267"/>
      <c r="H10" s="268"/>
      <c r="I10" s="267">
        <v>2470696.5</v>
      </c>
      <c r="J10" s="267">
        <v>0</v>
      </c>
      <c r="K10" s="267">
        <v>0</v>
      </c>
      <c r="L10" s="267">
        <v>168032967.21</v>
      </c>
      <c r="M10" s="266">
        <v>0</v>
      </c>
      <c r="N10" s="267">
        <v>-80815696.73</v>
      </c>
      <c r="O10" s="267">
        <v>0</v>
      </c>
      <c r="P10" s="267">
        <v>0</v>
      </c>
      <c r="Q10" s="267">
        <v>0</v>
      </c>
      <c r="R10" s="267">
        <v>0</v>
      </c>
      <c r="S10" s="267">
        <v>0</v>
      </c>
      <c r="T10" s="267">
        <v>170142.06</v>
      </c>
      <c r="U10" s="267">
        <v>0</v>
      </c>
      <c r="V10" s="267">
        <v>70497155.97</v>
      </c>
      <c r="W10" s="267">
        <v>72815337.8</v>
      </c>
      <c r="X10" s="267">
        <v>12051011.23</v>
      </c>
      <c r="Y10" s="267">
        <v>-1938591.99</v>
      </c>
      <c r="Z10" s="267">
        <v>12845286.32</v>
      </c>
      <c r="AA10" s="267">
        <v>1762767.88</v>
      </c>
      <c r="AB10" s="267">
        <v>0</v>
      </c>
      <c r="AC10" s="267">
        <v>0</v>
      </c>
      <c r="AD10" s="267">
        <v>0</v>
      </c>
      <c r="AE10" s="267">
        <v>0</v>
      </c>
      <c r="AF10" s="267">
        <v>0</v>
      </c>
      <c r="AG10" s="267">
        <v>0</v>
      </c>
      <c r="AH10" s="267">
        <v>0</v>
      </c>
      <c r="AI10" s="267">
        <v>0</v>
      </c>
      <c r="AJ10" s="267">
        <v>1965142.35</v>
      </c>
      <c r="AK10" s="267">
        <v>-1418759.68</v>
      </c>
      <c r="AL10" s="267">
        <v>-84624194.59</v>
      </c>
      <c r="AM10" s="267">
        <v>3262115.19</v>
      </c>
      <c r="AN10" s="267">
        <v>0</v>
      </c>
      <c r="AO10" s="257">
        <v>0</v>
      </c>
      <c r="AP10" s="257">
        <v>0</v>
      </c>
      <c r="AQ10" s="257">
        <v>0</v>
      </c>
      <c r="AR10" s="257">
        <v>170142.06</v>
      </c>
      <c r="AS10" s="257">
        <v>0</v>
      </c>
      <c r="AT10" s="257">
        <v>0</v>
      </c>
      <c r="AU10" s="257">
        <v>0</v>
      </c>
      <c r="AV10" s="257">
        <v>0</v>
      </c>
      <c r="AW10" s="257">
        <v>0</v>
      </c>
      <c r="AX10" s="257">
        <v>0</v>
      </c>
      <c r="AY10" s="257">
        <v>0</v>
      </c>
      <c r="AZ10" s="257">
        <v>0</v>
      </c>
      <c r="BA10" s="257">
        <v>0</v>
      </c>
      <c r="BB10" s="257">
        <v>0</v>
      </c>
      <c r="BC10" s="257">
        <v>0</v>
      </c>
      <c r="BD10" s="257">
        <v>0</v>
      </c>
      <c r="BE10" s="257">
        <v>0</v>
      </c>
      <c r="BF10" s="257">
        <v>0</v>
      </c>
      <c r="BG10" s="257">
        <v>0</v>
      </c>
      <c r="BH10" s="257">
        <v>0</v>
      </c>
      <c r="BI10" s="257">
        <v>0</v>
      </c>
      <c r="BJ10" s="257">
        <v>0</v>
      </c>
      <c r="BK10" s="257">
        <v>0</v>
      </c>
      <c r="BL10" s="257">
        <v>0</v>
      </c>
      <c r="BM10" s="257">
        <v>0</v>
      </c>
      <c r="BN10" s="257">
        <v>0</v>
      </c>
      <c r="BO10" s="257">
        <v>0</v>
      </c>
      <c r="BP10" s="257">
        <v>0</v>
      </c>
      <c r="BQ10" s="257">
        <v>0</v>
      </c>
      <c r="BR10" s="257">
        <v>0</v>
      </c>
      <c r="BS10" s="257">
        <v>0</v>
      </c>
      <c r="BT10" s="257">
        <v>0</v>
      </c>
      <c r="BU10" s="257">
        <v>0</v>
      </c>
      <c r="BV10" s="257">
        <v>0</v>
      </c>
      <c r="BW10" s="257">
        <v>0</v>
      </c>
      <c r="BX10" s="257">
        <v>0</v>
      </c>
      <c r="BY10" s="257">
        <v>0</v>
      </c>
      <c r="BZ10" s="257">
        <v>0</v>
      </c>
      <c r="CA10" s="257">
        <v>0</v>
      </c>
      <c r="CB10" s="257">
        <v>0</v>
      </c>
      <c r="CC10" s="257">
        <v>0</v>
      </c>
      <c r="CD10" s="257">
        <v>0</v>
      </c>
      <c r="CE10" s="257">
        <v>0</v>
      </c>
      <c r="CF10" s="257">
        <v>0</v>
      </c>
      <c r="CG10" s="257">
        <v>0</v>
      </c>
      <c r="CH10" s="257">
        <v>0</v>
      </c>
      <c r="CI10" s="257">
        <v>0</v>
      </c>
      <c r="CJ10" s="257">
        <v>0</v>
      </c>
      <c r="CK10" s="257">
        <v>0</v>
      </c>
      <c r="CL10" s="257">
        <v>0</v>
      </c>
      <c r="CM10" s="257">
        <v>0</v>
      </c>
      <c r="CN10" s="257">
        <v>0</v>
      </c>
      <c r="CO10" s="257">
        <v>0</v>
      </c>
      <c r="CP10" s="257">
        <v>0</v>
      </c>
      <c r="CQ10" s="257">
        <v>0</v>
      </c>
      <c r="CR10" s="257">
        <v>0</v>
      </c>
      <c r="CS10" s="257">
        <v>0</v>
      </c>
      <c r="CT10" s="257">
        <v>0</v>
      </c>
      <c r="CU10" s="257">
        <v>0</v>
      </c>
      <c r="CV10" s="257">
        <v>0</v>
      </c>
      <c r="CW10" s="257">
        <v>0</v>
      </c>
      <c r="CX10" s="257">
        <v>0</v>
      </c>
      <c r="CY10" s="257">
        <v>0</v>
      </c>
      <c r="CZ10" s="257">
        <v>0</v>
      </c>
      <c r="DA10" s="257">
        <v>0</v>
      </c>
      <c r="DB10" s="257">
        <v>0</v>
      </c>
      <c r="DC10" s="257">
        <v>0</v>
      </c>
      <c r="DD10" s="257">
        <v>0</v>
      </c>
      <c r="DE10" s="257">
        <v>0</v>
      </c>
      <c r="DF10" s="257">
        <v>0</v>
      </c>
      <c r="DG10" s="257">
        <v>0</v>
      </c>
      <c r="DH10" s="257">
        <v>0</v>
      </c>
      <c r="DJ10" s="257">
        <v>0</v>
      </c>
      <c r="DK10" s="257">
        <v>0</v>
      </c>
      <c r="DL10" s="257">
        <v>0</v>
      </c>
      <c r="DM10" s="257">
        <v>0</v>
      </c>
      <c r="DN10" s="257">
        <v>0</v>
      </c>
      <c r="DO10" s="257">
        <v>0</v>
      </c>
    </row>
    <row r="11" s="257" customFormat="1" spans="1:119">
      <c r="A11" s="263" t="s">
        <v>246</v>
      </c>
      <c r="B11" s="266">
        <v>0</v>
      </c>
      <c r="C11" s="267">
        <v>0</v>
      </c>
      <c r="D11" s="269"/>
      <c r="E11" s="267"/>
      <c r="F11" s="267"/>
      <c r="G11" s="267"/>
      <c r="H11" s="268"/>
      <c r="I11" s="267">
        <v>0</v>
      </c>
      <c r="J11" s="267">
        <v>0</v>
      </c>
      <c r="K11" s="267">
        <v>0</v>
      </c>
      <c r="L11" s="267">
        <v>0</v>
      </c>
      <c r="M11" s="266">
        <v>0</v>
      </c>
      <c r="N11" s="267">
        <v>0</v>
      </c>
      <c r="O11" s="267">
        <v>0</v>
      </c>
      <c r="P11" s="267">
        <v>0</v>
      </c>
      <c r="Q11" s="267">
        <v>0</v>
      </c>
      <c r="R11" s="267">
        <v>0</v>
      </c>
      <c r="S11" s="267">
        <v>0</v>
      </c>
      <c r="T11" s="267">
        <v>0</v>
      </c>
      <c r="U11" s="267">
        <v>0</v>
      </c>
      <c r="V11" s="267">
        <v>0</v>
      </c>
      <c r="W11" s="267">
        <v>0</v>
      </c>
      <c r="X11" s="267">
        <v>0</v>
      </c>
      <c r="Y11" s="267">
        <v>0</v>
      </c>
      <c r="Z11" s="267">
        <v>0</v>
      </c>
      <c r="AA11" s="267">
        <v>0</v>
      </c>
      <c r="AB11" s="267">
        <v>0</v>
      </c>
      <c r="AC11" s="267">
        <v>0</v>
      </c>
      <c r="AD11" s="267">
        <v>0</v>
      </c>
      <c r="AE11" s="267">
        <v>0</v>
      </c>
      <c r="AF11" s="267">
        <v>0</v>
      </c>
      <c r="AG11" s="267">
        <v>0</v>
      </c>
      <c r="AH11" s="267">
        <v>0</v>
      </c>
      <c r="AI11" s="267">
        <v>0</v>
      </c>
      <c r="AJ11" s="267">
        <v>0</v>
      </c>
      <c r="AK11" s="267">
        <v>0</v>
      </c>
      <c r="AL11" s="267">
        <v>0</v>
      </c>
      <c r="AM11" s="267">
        <v>0</v>
      </c>
      <c r="AN11" s="267">
        <v>0</v>
      </c>
      <c r="AO11" s="257">
        <v>0</v>
      </c>
      <c r="AP11" s="257">
        <v>0</v>
      </c>
      <c r="AQ11" s="257">
        <v>0</v>
      </c>
      <c r="AR11" s="257">
        <v>0</v>
      </c>
      <c r="AS11" s="257">
        <v>0</v>
      </c>
      <c r="AT11" s="257">
        <v>0</v>
      </c>
      <c r="AU11" s="257">
        <v>0</v>
      </c>
      <c r="AV11" s="257">
        <v>0</v>
      </c>
      <c r="AW11" s="257">
        <v>0</v>
      </c>
      <c r="AX11" s="257">
        <v>0</v>
      </c>
      <c r="AY11" s="257">
        <v>0</v>
      </c>
      <c r="AZ11" s="257">
        <v>0</v>
      </c>
      <c r="BA11" s="257">
        <v>0</v>
      </c>
      <c r="BB11" s="257">
        <v>0</v>
      </c>
      <c r="BC11" s="257">
        <v>0</v>
      </c>
      <c r="BD11" s="257">
        <v>0</v>
      </c>
      <c r="BE11" s="257">
        <v>0</v>
      </c>
      <c r="BF11" s="257">
        <v>0</v>
      </c>
      <c r="BG11" s="257">
        <v>0</v>
      </c>
      <c r="BH11" s="257">
        <v>0</v>
      </c>
      <c r="BI11" s="257">
        <v>0</v>
      </c>
      <c r="BJ11" s="257">
        <v>0</v>
      </c>
      <c r="BK11" s="257">
        <v>0</v>
      </c>
      <c r="BL11" s="257">
        <v>0</v>
      </c>
      <c r="BM11" s="257">
        <v>0</v>
      </c>
      <c r="BN11" s="257">
        <v>0</v>
      </c>
      <c r="BO11" s="257">
        <v>0</v>
      </c>
      <c r="BP11" s="257">
        <v>0</v>
      </c>
      <c r="BQ11" s="257">
        <v>0</v>
      </c>
      <c r="BR11" s="257">
        <v>0</v>
      </c>
      <c r="BS11" s="257">
        <v>0</v>
      </c>
      <c r="BT11" s="257">
        <v>0</v>
      </c>
      <c r="BU11" s="257">
        <v>0</v>
      </c>
      <c r="BV11" s="257">
        <v>0</v>
      </c>
      <c r="BW11" s="257">
        <v>0</v>
      </c>
      <c r="BX11" s="257">
        <v>0</v>
      </c>
      <c r="BY11" s="257">
        <v>0</v>
      </c>
      <c r="BZ11" s="257">
        <v>0</v>
      </c>
      <c r="CA11" s="257">
        <v>0</v>
      </c>
      <c r="CB11" s="257">
        <v>0</v>
      </c>
      <c r="CC11" s="257">
        <v>0</v>
      </c>
      <c r="CD11" s="257">
        <v>0</v>
      </c>
      <c r="CE11" s="257">
        <v>0</v>
      </c>
      <c r="CF11" s="257">
        <v>0</v>
      </c>
      <c r="CG11" s="257">
        <v>0</v>
      </c>
      <c r="CH11" s="257">
        <v>0</v>
      </c>
      <c r="CI11" s="257">
        <v>0</v>
      </c>
      <c r="CJ11" s="257">
        <v>0</v>
      </c>
      <c r="CK11" s="257">
        <v>0</v>
      </c>
      <c r="CL11" s="257">
        <v>0</v>
      </c>
      <c r="CM11" s="257">
        <v>0</v>
      </c>
      <c r="CN11" s="257">
        <v>0</v>
      </c>
      <c r="CO11" s="257">
        <v>0</v>
      </c>
      <c r="CP11" s="257">
        <v>0</v>
      </c>
      <c r="CQ11" s="257">
        <v>0</v>
      </c>
      <c r="CR11" s="257">
        <v>0</v>
      </c>
      <c r="CS11" s="257">
        <v>0</v>
      </c>
      <c r="CT11" s="257">
        <v>0</v>
      </c>
      <c r="CU11" s="257">
        <v>0</v>
      </c>
      <c r="CV11" s="257">
        <v>0</v>
      </c>
      <c r="CW11" s="257">
        <v>0</v>
      </c>
      <c r="CX11" s="257">
        <v>0</v>
      </c>
      <c r="CY11" s="257">
        <v>0</v>
      </c>
      <c r="CZ11" s="257">
        <v>0</v>
      </c>
      <c r="DA11" s="257">
        <v>0</v>
      </c>
      <c r="DB11" s="257">
        <v>0</v>
      </c>
      <c r="DC11" s="257">
        <v>0</v>
      </c>
      <c r="DD11" s="257">
        <v>0</v>
      </c>
      <c r="DE11" s="257">
        <v>0</v>
      </c>
      <c r="DF11" s="257">
        <v>0</v>
      </c>
      <c r="DG11" s="257">
        <v>0</v>
      </c>
      <c r="DH11" s="257">
        <v>0</v>
      </c>
      <c r="DJ11" s="257">
        <v>0</v>
      </c>
      <c r="DK11" s="257">
        <v>0</v>
      </c>
      <c r="DL11" s="257">
        <v>0</v>
      </c>
      <c r="DM11" s="257">
        <v>0</v>
      </c>
      <c r="DN11" s="257">
        <v>0</v>
      </c>
      <c r="DO11" s="257">
        <v>0</v>
      </c>
    </row>
    <row r="12" s="257" customFormat="1" spans="1:119">
      <c r="A12" s="263" t="s">
        <v>247</v>
      </c>
      <c r="B12" s="266">
        <v>63941850.76</v>
      </c>
      <c r="C12" s="267">
        <v>63941850.76</v>
      </c>
      <c r="D12" s="267"/>
      <c r="E12" s="267"/>
      <c r="F12" s="267"/>
      <c r="G12" s="267"/>
      <c r="H12" s="268"/>
      <c r="I12" s="267">
        <v>0</v>
      </c>
      <c r="J12" s="267">
        <v>0</v>
      </c>
      <c r="K12" s="267">
        <v>0</v>
      </c>
      <c r="L12" s="267">
        <v>63941850.76</v>
      </c>
      <c r="M12" s="266">
        <v>0</v>
      </c>
      <c r="N12" s="267">
        <v>0</v>
      </c>
      <c r="O12" s="267">
        <v>0</v>
      </c>
      <c r="P12" s="267">
        <v>0</v>
      </c>
      <c r="Q12" s="267">
        <v>0</v>
      </c>
      <c r="R12" s="267">
        <v>0</v>
      </c>
      <c r="S12" s="267">
        <v>0</v>
      </c>
      <c r="T12" s="267">
        <v>0</v>
      </c>
      <c r="U12" s="267">
        <v>0</v>
      </c>
      <c r="V12" s="267">
        <v>3723422</v>
      </c>
      <c r="W12" s="267">
        <v>-29947286.9</v>
      </c>
      <c r="X12" s="267">
        <v>17230486.95</v>
      </c>
      <c r="Y12" s="267">
        <v>7459189.09</v>
      </c>
      <c r="Z12" s="267">
        <v>65476039.62</v>
      </c>
      <c r="AA12" s="267">
        <v>0</v>
      </c>
      <c r="AB12" s="267">
        <v>0</v>
      </c>
      <c r="AC12" s="267">
        <v>0</v>
      </c>
      <c r="AD12" s="267">
        <v>0</v>
      </c>
      <c r="AE12" s="267">
        <v>0</v>
      </c>
      <c r="AF12" s="267">
        <v>0</v>
      </c>
      <c r="AG12" s="267">
        <v>0</v>
      </c>
      <c r="AH12" s="267">
        <v>0</v>
      </c>
      <c r="AI12" s="267">
        <v>0</v>
      </c>
      <c r="AJ12" s="267">
        <v>0</v>
      </c>
      <c r="AK12" s="267">
        <v>0</v>
      </c>
      <c r="AL12" s="267">
        <v>0</v>
      </c>
      <c r="AM12" s="267">
        <v>0</v>
      </c>
      <c r="AN12" s="267">
        <v>0</v>
      </c>
      <c r="AO12" s="257">
        <v>0</v>
      </c>
      <c r="AP12" s="257">
        <v>0</v>
      </c>
      <c r="AQ12" s="257">
        <v>0</v>
      </c>
      <c r="AR12" s="257">
        <v>0</v>
      </c>
      <c r="AS12" s="257">
        <v>0</v>
      </c>
      <c r="AT12" s="257">
        <v>0</v>
      </c>
      <c r="AU12" s="257">
        <v>0</v>
      </c>
      <c r="AV12" s="257">
        <v>0</v>
      </c>
      <c r="AW12" s="257">
        <v>0</v>
      </c>
      <c r="AX12" s="257">
        <v>0</v>
      </c>
      <c r="AY12" s="257">
        <v>0</v>
      </c>
      <c r="AZ12" s="257">
        <v>0</v>
      </c>
      <c r="BA12" s="257">
        <v>0</v>
      </c>
      <c r="BB12" s="257">
        <v>0</v>
      </c>
      <c r="BC12" s="257">
        <v>0</v>
      </c>
      <c r="BD12" s="257">
        <v>0</v>
      </c>
      <c r="BE12" s="257">
        <v>0</v>
      </c>
      <c r="BF12" s="257">
        <v>0</v>
      </c>
      <c r="BG12" s="257">
        <v>0</v>
      </c>
      <c r="BH12" s="257">
        <v>0</v>
      </c>
      <c r="BI12" s="257">
        <v>0</v>
      </c>
      <c r="BJ12" s="257">
        <v>0</v>
      </c>
      <c r="BK12" s="257">
        <v>0</v>
      </c>
      <c r="BL12" s="257">
        <v>0</v>
      </c>
      <c r="BM12" s="257">
        <v>0</v>
      </c>
      <c r="BN12" s="257">
        <v>0</v>
      </c>
      <c r="BO12" s="257">
        <v>0</v>
      </c>
      <c r="BP12" s="257">
        <v>0</v>
      </c>
      <c r="BQ12" s="257">
        <v>0</v>
      </c>
      <c r="BR12" s="257">
        <v>0</v>
      </c>
      <c r="BS12" s="257">
        <v>0</v>
      </c>
      <c r="BT12" s="257">
        <v>0</v>
      </c>
      <c r="BU12" s="257">
        <v>0</v>
      </c>
      <c r="BV12" s="257">
        <v>0</v>
      </c>
      <c r="BW12" s="257">
        <v>0</v>
      </c>
      <c r="BX12" s="257">
        <v>0</v>
      </c>
      <c r="BY12" s="257">
        <v>0</v>
      </c>
      <c r="BZ12" s="257">
        <v>0</v>
      </c>
      <c r="CA12" s="257">
        <v>0</v>
      </c>
      <c r="CB12" s="257">
        <v>0</v>
      </c>
      <c r="CC12" s="257">
        <v>0</v>
      </c>
      <c r="CD12" s="257">
        <v>0</v>
      </c>
      <c r="CE12" s="257">
        <v>0</v>
      </c>
      <c r="CF12" s="257">
        <v>0</v>
      </c>
      <c r="CG12" s="257">
        <v>0</v>
      </c>
      <c r="CH12" s="257">
        <v>0</v>
      </c>
      <c r="CI12" s="257">
        <v>0</v>
      </c>
      <c r="CJ12" s="257">
        <v>0</v>
      </c>
      <c r="CK12" s="257">
        <v>0</v>
      </c>
      <c r="CL12" s="257">
        <v>0</v>
      </c>
      <c r="CM12" s="257">
        <v>0</v>
      </c>
      <c r="CN12" s="257">
        <v>0</v>
      </c>
      <c r="CO12" s="257">
        <v>0</v>
      </c>
      <c r="CP12" s="257">
        <v>0</v>
      </c>
      <c r="CQ12" s="257">
        <v>0</v>
      </c>
      <c r="CR12" s="257">
        <v>0</v>
      </c>
      <c r="CS12" s="257">
        <v>0</v>
      </c>
      <c r="CT12" s="257">
        <v>0</v>
      </c>
      <c r="CU12" s="257">
        <v>0</v>
      </c>
      <c r="CV12" s="257">
        <v>0</v>
      </c>
      <c r="CW12" s="257">
        <v>0</v>
      </c>
      <c r="CX12" s="257">
        <v>0</v>
      </c>
      <c r="CY12" s="257">
        <v>0</v>
      </c>
      <c r="CZ12" s="257">
        <v>0</v>
      </c>
      <c r="DA12" s="257">
        <v>0</v>
      </c>
      <c r="DB12" s="257">
        <v>0</v>
      </c>
      <c r="DC12" s="257">
        <v>0</v>
      </c>
      <c r="DD12" s="257">
        <v>0</v>
      </c>
      <c r="DE12" s="257">
        <v>0</v>
      </c>
      <c r="DF12" s="257">
        <v>0</v>
      </c>
      <c r="DG12" s="257">
        <v>0</v>
      </c>
      <c r="DH12" s="257">
        <v>0</v>
      </c>
      <c r="DJ12" s="257">
        <v>0</v>
      </c>
      <c r="DK12" s="257">
        <v>0</v>
      </c>
      <c r="DL12" s="257">
        <v>0</v>
      </c>
      <c r="DM12" s="257">
        <v>0</v>
      </c>
      <c r="DN12" s="257">
        <v>0</v>
      </c>
      <c r="DO12" s="257">
        <v>0</v>
      </c>
    </row>
    <row r="13" s="257" customFormat="1" spans="1:119">
      <c r="A13" s="263" t="s">
        <v>248</v>
      </c>
      <c r="B13" s="266">
        <v>-888401.54</v>
      </c>
      <c r="C13" s="267">
        <v>-888401.54</v>
      </c>
      <c r="D13" s="267"/>
      <c r="E13" s="267"/>
      <c r="F13" s="267"/>
      <c r="G13" s="267"/>
      <c r="H13" s="268"/>
      <c r="I13" s="267">
        <v>103302.24</v>
      </c>
      <c r="J13" s="267">
        <v>0</v>
      </c>
      <c r="K13" s="267">
        <v>0</v>
      </c>
      <c r="L13" s="267">
        <v>0</v>
      </c>
      <c r="M13" s="266">
        <v>0</v>
      </c>
      <c r="N13" s="267">
        <v>0</v>
      </c>
      <c r="O13" s="267">
        <v>0</v>
      </c>
      <c r="P13" s="267">
        <v>0</v>
      </c>
      <c r="Q13" s="267">
        <v>0</v>
      </c>
      <c r="R13" s="267">
        <v>0.11</v>
      </c>
      <c r="S13" s="267">
        <v>0</v>
      </c>
      <c r="T13" s="267">
        <v>-991703.89</v>
      </c>
      <c r="U13" s="267">
        <v>0</v>
      </c>
      <c r="V13" s="267">
        <v>0</v>
      </c>
      <c r="W13" s="267">
        <v>0</v>
      </c>
      <c r="X13" s="267">
        <v>0</v>
      </c>
      <c r="Y13" s="267">
        <v>0</v>
      </c>
      <c r="Z13" s="267">
        <v>0</v>
      </c>
      <c r="AA13" s="267">
        <v>0</v>
      </c>
      <c r="AB13" s="267">
        <v>0</v>
      </c>
      <c r="AC13" s="267">
        <v>0</v>
      </c>
      <c r="AD13" s="267">
        <v>0</v>
      </c>
      <c r="AE13" s="267">
        <v>0</v>
      </c>
      <c r="AF13" s="267">
        <v>0</v>
      </c>
      <c r="AG13" s="267">
        <v>0</v>
      </c>
      <c r="AH13" s="267">
        <v>0</v>
      </c>
      <c r="AI13" s="267">
        <v>0</v>
      </c>
      <c r="AJ13" s="267">
        <v>0</v>
      </c>
      <c r="AK13" s="267">
        <v>0</v>
      </c>
      <c r="AL13" s="267">
        <v>0</v>
      </c>
      <c r="AM13" s="267">
        <v>0</v>
      </c>
      <c r="AN13" s="267">
        <v>0</v>
      </c>
      <c r="AO13" s="257">
        <v>0</v>
      </c>
      <c r="AP13" s="257">
        <v>0</v>
      </c>
      <c r="AQ13" s="257">
        <v>0</v>
      </c>
      <c r="AR13" s="257">
        <v>0</v>
      </c>
      <c r="AS13" s="257">
        <v>0</v>
      </c>
      <c r="AT13" s="257">
        <v>-991703.89</v>
      </c>
      <c r="AU13" s="257">
        <v>-67911.81</v>
      </c>
      <c r="AV13" s="257">
        <v>-28056.58</v>
      </c>
      <c r="AW13" s="257">
        <v>-32235.6</v>
      </c>
      <c r="AX13" s="257">
        <v>-66317.37</v>
      </c>
      <c r="AY13" s="257">
        <v>-128818.91</v>
      </c>
      <c r="AZ13" s="257">
        <v>-65119.59</v>
      </c>
      <c r="BA13" s="257">
        <v>-107.17</v>
      </c>
      <c r="BB13" s="257">
        <v>-44306.18</v>
      </c>
      <c r="BC13" s="257">
        <v>-27756.31</v>
      </c>
      <c r="BD13" s="257">
        <v>-17742.58</v>
      </c>
      <c r="BE13" s="257">
        <v>-49341.26</v>
      </c>
      <c r="BF13" s="257">
        <v>-81950.56</v>
      </c>
      <c r="BG13" s="257">
        <v>-263828.2</v>
      </c>
      <c r="BH13" s="257">
        <v>-107961.98</v>
      </c>
      <c r="BI13" s="257">
        <v>-1.18</v>
      </c>
      <c r="BJ13" s="257">
        <v>4331.61</v>
      </c>
      <c r="BK13" s="257">
        <v>-1645.96</v>
      </c>
      <c r="BL13" s="257">
        <v>-2560.1</v>
      </c>
      <c r="BM13" s="257">
        <v>-1320.7</v>
      </c>
      <c r="BN13" s="257">
        <v>-150.67</v>
      </c>
      <c r="BO13" s="257">
        <v>-100.82</v>
      </c>
      <c r="BP13" s="257">
        <v>-8637.36</v>
      </c>
      <c r="BQ13" s="257">
        <v>0</v>
      </c>
      <c r="BR13" s="257">
        <v>-1.6</v>
      </c>
      <c r="BS13" s="257">
        <v>0</v>
      </c>
      <c r="BT13" s="257">
        <v>0</v>
      </c>
      <c r="BU13" s="257">
        <v>-4.79</v>
      </c>
      <c r="BV13" s="257">
        <v>0</v>
      </c>
      <c r="BW13" s="257">
        <v>0</v>
      </c>
      <c r="BX13" s="257">
        <v>6.04</v>
      </c>
      <c r="BY13" s="257">
        <v>0</v>
      </c>
      <c r="BZ13" s="257">
        <v>0</v>
      </c>
      <c r="CA13" s="257">
        <v>0</v>
      </c>
      <c r="CB13" s="257">
        <v>0</v>
      </c>
      <c r="CC13" s="257">
        <v>-26.47</v>
      </c>
      <c r="CD13" s="257">
        <v>-37.64</v>
      </c>
      <c r="CE13" s="257">
        <v>0</v>
      </c>
      <c r="CF13" s="257">
        <v>0</v>
      </c>
      <c r="CG13" s="257">
        <v>0</v>
      </c>
      <c r="CH13" s="257">
        <v>0</v>
      </c>
      <c r="CI13" s="257">
        <v>0</v>
      </c>
      <c r="CJ13" s="257">
        <v>0</v>
      </c>
      <c r="CK13" s="257">
        <v>0</v>
      </c>
      <c r="CL13" s="257">
        <v>0</v>
      </c>
      <c r="CM13" s="257">
        <v>0</v>
      </c>
      <c r="CN13" s="257">
        <v>0</v>
      </c>
      <c r="CO13" s="257">
        <v>0</v>
      </c>
      <c r="CP13" s="257">
        <v>0</v>
      </c>
      <c r="CQ13" s="257">
        <v>0</v>
      </c>
      <c r="CR13" s="257">
        <v>0</v>
      </c>
      <c r="CS13" s="257">
        <v>0</v>
      </c>
      <c r="CT13" s="257">
        <v>0</v>
      </c>
      <c r="CU13" s="257">
        <v>0</v>
      </c>
      <c r="CV13" s="257">
        <v>0</v>
      </c>
      <c r="CW13" s="257">
        <v>0</v>
      </c>
      <c r="CX13" s="257">
        <v>0</v>
      </c>
      <c r="CY13" s="257">
        <v>0</v>
      </c>
      <c r="CZ13" s="257">
        <v>0</v>
      </c>
      <c r="DA13" s="257">
        <v>0</v>
      </c>
      <c r="DB13" s="257">
        <v>0</v>
      </c>
      <c r="DC13" s="257">
        <v>-88.31</v>
      </c>
      <c r="DD13" s="257">
        <v>-11.84</v>
      </c>
      <c r="DE13" s="257">
        <v>0</v>
      </c>
      <c r="DF13" s="257">
        <v>0</v>
      </c>
      <c r="DG13" s="257">
        <v>0</v>
      </c>
      <c r="DH13" s="257">
        <v>0</v>
      </c>
      <c r="DJ13" s="257">
        <v>0</v>
      </c>
      <c r="DK13" s="257">
        <v>0</v>
      </c>
      <c r="DL13" s="257">
        <v>0</v>
      </c>
      <c r="DM13" s="257">
        <v>0</v>
      </c>
      <c r="DN13" s="257">
        <v>0</v>
      </c>
      <c r="DO13" s="257">
        <v>0</v>
      </c>
    </row>
    <row r="14" s="257" customFormat="1" spans="1:119">
      <c r="A14" s="263" t="s">
        <v>249</v>
      </c>
      <c r="B14" s="266">
        <v>7819900.6</v>
      </c>
      <c r="C14" s="267">
        <v>7819900.6</v>
      </c>
      <c r="D14" s="267"/>
      <c r="E14" s="267"/>
      <c r="F14" s="267"/>
      <c r="G14" s="267"/>
      <c r="H14" s="268"/>
      <c r="I14" s="267">
        <v>0</v>
      </c>
      <c r="J14" s="267">
        <v>0</v>
      </c>
      <c r="K14" s="267">
        <v>0</v>
      </c>
      <c r="L14" s="267">
        <v>0</v>
      </c>
      <c r="M14" s="266">
        <v>0</v>
      </c>
      <c r="N14" s="267">
        <v>0</v>
      </c>
      <c r="O14" s="267">
        <v>0</v>
      </c>
      <c r="P14" s="267">
        <v>0</v>
      </c>
      <c r="Q14" s="267">
        <v>0</v>
      </c>
      <c r="R14" s="267">
        <v>0</v>
      </c>
      <c r="S14" s="267">
        <v>181.13</v>
      </c>
      <c r="T14" s="267">
        <v>7819719.47</v>
      </c>
      <c r="U14" s="267">
        <v>0</v>
      </c>
      <c r="V14" s="267">
        <v>0</v>
      </c>
      <c r="W14" s="267">
        <v>0</v>
      </c>
      <c r="X14" s="267">
        <v>0</v>
      </c>
      <c r="Y14" s="267">
        <v>0</v>
      </c>
      <c r="Z14" s="267">
        <v>0</v>
      </c>
      <c r="AA14" s="267">
        <v>0</v>
      </c>
      <c r="AB14" s="267">
        <v>0</v>
      </c>
      <c r="AC14" s="267">
        <v>0</v>
      </c>
      <c r="AD14" s="267">
        <v>0</v>
      </c>
      <c r="AE14" s="267">
        <v>0</v>
      </c>
      <c r="AF14" s="267">
        <v>0</v>
      </c>
      <c r="AG14" s="267">
        <v>0</v>
      </c>
      <c r="AH14" s="267">
        <v>0</v>
      </c>
      <c r="AI14" s="267">
        <v>0</v>
      </c>
      <c r="AJ14" s="267">
        <v>0</v>
      </c>
      <c r="AK14" s="267">
        <v>0</v>
      </c>
      <c r="AL14" s="267">
        <v>0</v>
      </c>
      <c r="AM14" s="267">
        <v>0</v>
      </c>
      <c r="AN14" s="267">
        <v>0</v>
      </c>
      <c r="AO14" s="257">
        <v>0</v>
      </c>
      <c r="AP14" s="257">
        <v>3186699.79</v>
      </c>
      <c r="AQ14" s="257">
        <v>0</v>
      </c>
      <c r="AR14" s="257">
        <v>0</v>
      </c>
      <c r="AS14" s="257">
        <v>0</v>
      </c>
      <c r="AT14" s="257">
        <v>4633019.68</v>
      </c>
      <c r="AU14" s="257">
        <v>210.2</v>
      </c>
      <c r="AV14" s="257">
        <v>379.91</v>
      </c>
      <c r="AW14" s="257">
        <v>39673.64</v>
      </c>
      <c r="AX14" s="257">
        <v>385.49</v>
      </c>
      <c r="AY14" s="257">
        <v>43486.47</v>
      </c>
      <c r="AZ14" s="257">
        <v>931.52</v>
      </c>
      <c r="BA14" s="257">
        <v>20</v>
      </c>
      <c r="BB14" s="257">
        <v>128.95</v>
      </c>
      <c r="BC14" s="257">
        <v>75.44</v>
      </c>
      <c r="BD14" s="257">
        <v>24.14</v>
      </c>
      <c r="BE14" s="257">
        <v>658520.04</v>
      </c>
      <c r="BF14" s="257">
        <v>59643.18</v>
      </c>
      <c r="BG14" s="257">
        <v>667.23</v>
      </c>
      <c r="BH14" s="257">
        <v>378.51</v>
      </c>
      <c r="BI14" s="257">
        <v>81.87</v>
      </c>
      <c r="BJ14" s="257">
        <v>14.71</v>
      </c>
      <c r="BK14" s="257">
        <v>9.43</v>
      </c>
      <c r="BL14" s="257">
        <v>37.73</v>
      </c>
      <c r="BM14" s="257">
        <v>137.35</v>
      </c>
      <c r="BN14" s="257">
        <v>973.95</v>
      </c>
      <c r="BO14" s="257">
        <v>0</v>
      </c>
      <c r="BP14" s="257">
        <v>106.12</v>
      </c>
      <c r="BQ14" s="257">
        <v>9.43</v>
      </c>
      <c r="BR14" s="257">
        <v>43.01</v>
      </c>
      <c r="BS14" s="257">
        <v>0</v>
      </c>
      <c r="BT14" s="257">
        <v>94363.76</v>
      </c>
      <c r="BU14" s="257">
        <v>9.43</v>
      </c>
      <c r="BV14" s="257">
        <v>40895.21</v>
      </c>
      <c r="BW14" s="257">
        <v>0</v>
      </c>
      <c r="BX14" s="257">
        <v>56.6</v>
      </c>
      <c r="BY14" s="257">
        <v>9.43</v>
      </c>
      <c r="BZ14" s="257">
        <v>0</v>
      </c>
      <c r="CA14" s="257">
        <v>62893.08</v>
      </c>
      <c r="CB14" s="257">
        <v>0</v>
      </c>
      <c r="CC14" s="257">
        <v>232.95</v>
      </c>
      <c r="CD14" s="257">
        <v>817634.22</v>
      </c>
      <c r="CE14" s="257">
        <v>177113.2</v>
      </c>
      <c r="CF14" s="257">
        <v>19.42</v>
      </c>
      <c r="CG14" s="257">
        <v>135942.33</v>
      </c>
      <c r="CH14" s="257">
        <v>0</v>
      </c>
      <c r="CI14" s="257">
        <v>20255.67</v>
      </c>
      <c r="CJ14" s="257">
        <v>719339.62</v>
      </c>
      <c r="CK14" s="257">
        <v>94339.62</v>
      </c>
      <c r="CL14" s="257">
        <v>52598.71</v>
      </c>
      <c r="CM14" s="257">
        <v>0</v>
      </c>
      <c r="CN14" s="257">
        <v>9.43</v>
      </c>
      <c r="CO14" s="257">
        <v>101142.69</v>
      </c>
      <c r="CP14" s="257">
        <v>0</v>
      </c>
      <c r="CQ14" s="257">
        <v>9.71</v>
      </c>
      <c r="CR14" s="257">
        <v>0</v>
      </c>
      <c r="CS14" s="257">
        <v>9.71</v>
      </c>
      <c r="CT14" s="257">
        <v>9.71</v>
      </c>
      <c r="CU14" s="257">
        <v>0</v>
      </c>
      <c r="CV14" s="257">
        <v>218446.61</v>
      </c>
      <c r="CW14" s="257">
        <v>0</v>
      </c>
      <c r="CX14" s="257">
        <v>0</v>
      </c>
      <c r="CY14" s="257">
        <v>19.42</v>
      </c>
      <c r="CZ14" s="257">
        <v>0</v>
      </c>
      <c r="DA14" s="257">
        <v>10</v>
      </c>
      <c r="DB14" s="257">
        <v>0</v>
      </c>
      <c r="DC14" s="257">
        <v>37.74</v>
      </c>
      <c r="DD14" s="257">
        <v>0</v>
      </c>
      <c r="DE14" s="257">
        <v>0</v>
      </c>
      <c r="DF14" s="257">
        <v>0</v>
      </c>
      <c r="DG14" s="257">
        <v>1291683.09</v>
      </c>
      <c r="DH14" s="257">
        <v>0</v>
      </c>
      <c r="DJ14" s="257">
        <v>0</v>
      </c>
      <c r="DK14" s="257">
        <v>0</v>
      </c>
      <c r="DL14" s="257">
        <v>0</v>
      </c>
      <c r="DM14" s="257">
        <v>0</v>
      </c>
      <c r="DN14" s="257">
        <v>0</v>
      </c>
      <c r="DO14" s="257">
        <v>0</v>
      </c>
    </row>
    <row r="15" s="257" customFormat="1" spans="1:40">
      <c r="A15" s="263" t="s">
        <v>250</v>
      </c>
      <c r="B15" s="266">
        <v>-743374.84</v>
      </c>
      <c r="C15" s="267">
        <v>-743374.84</v>
      </c>
      <c r="D15" s="267"/>
      <c r="E15" s="267"/>
      <c r="F15" s="267"/>
      <c r="G15" s="267"/>
      <c r="H15" s="268"/>
      <c r="I15" s="267">
        <v>0</v>
      </c>
      <c r="J15" s="267">
        <v>0</v>
      </c>
      <c r="K15" s="267">
        <v>0</v>
      </c>
      <c r="L15" s="267">
        <v>0</v>
      </c>
      <c r="M15" s="266">
        <v>0</v>
      </c>
      <c r="N15" s="267">
        <v>0</v>
      </c>
      <c r="O15" s="267">
        <v>0</v>
      </c>
      <c r="P15" s="267">
        <v>0</v>
      </c>
      <c r="Q15" s="267">
        <v>0</v>
      </c>
      <c r="R15" s="267">
        <v>-743374.84</v>
      </c>
      <c r="S15" s="267">
        <v>0</v>
      </c>
      <c r="T15" s="267">
        <v>0</v>
      </c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</row>
    <row r="16" s="257" customFormat="1" spans="1:40">
      <c r="A16" s="263" t="s">
        <v>251</v>
      </c>
      <c r="B16" s="266">
        <v>0</v>
      </c>
      <c r="C16" s="267"/>
      <c r="D16" s="267"/>
      <c r="E16" s="267"/>
      <c r="F16" s="267"/>
      <c r="G16" s="267"/>
      <c r="H16" s="268"/>
      <c r="I16" s="267">
        <v>0</v>
      </c>
      <c r="J16" s="267">
        <v>0</v>
      </c>
      <c r="K16" s="267">
        <v>0</v>
      </c>
      <c r="L16" s="267">
        <v>0</v>
      </c>
      <c r="M16" s="266">
        <v>0</v>
      </c>
      <c r="N16" s="267">
        <v>0</v>
      </c>
      <c r="O16" s="267">
        <v>0</v>
      </c>
      <c r="P16" s="267">
        <v>0</v>
      </c>
      <c r="Q16" s="267">
        <v>0</v>
      </c>
      <c r="R16" s="267">
        <v>0</v>
      </c>
      <c r="S16" s="267">
        <v>0</v>
      </c>
      <c r="T16" s="267">
        <v>0</v>
      </c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</row>
    <row r="17" s="257" customFormat="1" spans="1:119">
      <c r="A17" s="265" t="s">
        <v>42</v>
      </c>
      <c r="B17" s="266">
        <v>749645691.4</v>
      </c>
      <c r="C17" s="266">
        <v>749645691.4</v>
      </c>
      <c r="D17" s="266"/>
      <c r="E17" s="266"/>
      <c r="F17" s="266"/>
      <c r="G17" s="266"/>
      <c r="H17" s="266"/>
      <c r="I17" s="266">
        <v>149743118.64</v>
      </c>
      <c r="J17" s="266">
        <v>63161.8</v>
      </c>
      <c r="K17" s="266">
        <v>0</v>
      </c>
      <c r="L17" s="266">
        <v>39034142.78</v>
      </c>
      <c r="M17" s="266">
        <v>153228682.22</v>
      </c>
      <c r="N17" s="266">
        <v>21810071.09</v>
      </c>
      <c r="O17" s="266">
        <v>16099827.89</v>
      </c>
      <c r="P17" s="266">
        <v>5779420.03</v>
      </c>
      <c r="Q17" s="266">
        <v>2916834.51</v>
      </c>
      <c r="R17" s="266">
        <v>0</v>
      </c>
      <c r="S17" s="266">
        <v>8377969.07</v>
      </c>
      <c r="T17" s="266">
        <v>352592463.37</v>
      </c>
      <c r="U17" s="266">
        <v>10537640.69</v>
      </c>
      <c r="V17" s="266">
        <v>5071386.3</v>
      </c>
      <c r="W17" s="266">
        <v>4893408.45</v>
      </c>
      <c r="X17" s="266">
        <v>7528547.17</v>
      </c>
      <c r="Y17" s="266">
        <v>3935191.87</v>
      </c>
      <c r="Z17" s="266">
        <v>5186855.07</v>
      </c>
      <c r="AA17" s="266">
        <v>1881113.23</v>
      </c>
      <c r="AB17" s="266">
        <v>6131961.04</v>
      </c>
      <c r="AC17" s="266">
        <v>102427835.26</v>
      </c>
      <c r="AD17" s="266">
        <v>26815049.52</v>
      </c>
      <c r="AE17" s="266">
        <v>11382909.31</v>
      </c>
      <c r="AF17" s="266">
        <v>3458608.71</v>
      </c>
      <c r="AG17" s="266">
        <v>2386651.68</v>
      </c>
      <c r="AH17" s="266">
        <v>625666.7</v>
      </c>
      <c r="AI17" s="266">
        <v>0</v>
      </c>
      <c r="AJ17" s="266">
        <v>6733738.91</v>
      </c>
      <c r="AK17" s="266">
        <v>7815248.99</v>
      </c>
      <c r="AL17" s="266">
        <v>4122177.03</v>
      </c>
      <c r="AM17" s="266">
        <v>3138906.16</v>
      </c>
      <c r="AN17" s="266">
        <v>4551937.94</v>
      </c>
      <c r="AO17" s="266">
        <v>1227482.09</v>
      </c>
      <c r="AP17" s="266">
        <v>67593853.32</v>
      </c>
      <c r="AQ17" s="266">
        <v>6405242.92</v>
      </c>
      <c r="AR17" s="266">
        <v>18307925.03</v>
      </c>
      <c r="AS17" s="266">
        <v>5386389.94</v>
      </c>
      <c r="AT17" s="266">
        <v>254899052.16</v>
      </c>
      <c r="AU17" s="266">
        <v>10023791.21</v>
      </c>
      <c r="AV17" s="266">
        <v>11617447.22</v>
      </c>
      <c r="AW17" s="266">
        <v>12305134.21</v>
      </c>
      <c r="AX17" s="266">
        <v>10558991.46</v>
      </c>
      <c r="AY17" s="266">
        <v>10461094.14</v>
      </c>
      <c r="AZ17" s="266">
        <v>10457358.33</v>
      </c>
      <c r="BA17" s="266">
        <v>4305384.65</v>
      </c>
      <c r="BB17" s="266">
        <v>11069251.03</v>
      </c>
      <c r="BC17" s="266">
        <v>5599503.2</v>
      </c>
      <c r="BD17" s="266">
        <v>4933055.84</v>
      </c>
      <c r="BE17" s="266">
        <v>12457266.94</v>
      </c>
      <c r="BF17" s="266">
        <v>10671394.76</v>
      </c>
      <c r="BG17" s="266">
        <v>9804748.14</v>
      </c>
      <c r="BH17" s="266">
        <v>6277733.38</v>
      </c>
      <c r="BI17" s="266">
        <v>4319512.96</v>
      </c>
      <c r="BJ17" s="266">
        <v>4176332.52</v>
      </c>
      <c r="BK17" s="266">
        <v>4705815.79</v>
      </c>
      <c r="BL17" s="266">
        <v>5625556.81</v>
      </c>
      <c r="BM17" s="266">
        <v>3296279.6</v>
      </c>
      <c r="BN17" s="266">
        <v>3473188.06</v>
      </c>
      <c r="BO17" s="266">
        <v>4081769.8</v>
      </c>
      <c r="BP17" s="266">
        <v>5207210.27</v>
      </c>
      <c r="BQ17" s="266">
        <v>2227681.23</v>
      </c>
      <c r="BR17" s="266">
        <v>2259478.82</v>
      </c>
      <c r="BS17" s="266">
        <v>1830354.81</v>
      </c>
      <c r="BT17" s="266">
        <v>2703807.19</v>
      </c>
      <c r="BU17" s="266">
        <v>2072208.96</v>
      </c>
      <c r="BV17" s="266">
        <v>3241539.3</v>
      </c>
      <c r="BW17" s="266">
        <v>2265211.79</v>
      </c>
      <c r="BX17" s="266">
        <v>5016879.99</v>
      </c>
      <c r="BY17" s="266">
        <v>992977.98</v>
      </c>
      <c r="BZ17" s="266">
        <v>2144894.03</v>
      </c>
      <c r="CA17" s="266">
        <v>1016223.8</v>
      </c>
      <c r="CB17" s="266">
        <v>1406465.85</v>
      </c>
      <c r="CC17" s="266">
        <v>1651151.19</v>
      </c>
      <c r="CD17" s="266">
        <v>5424990.06</v>
      </c>
      <c r="CE17" s="266">
        <v>11593938.71</v>
      </c>
      <c r="CF17" s="266">
        <v>1484727.7</v>
      </c>
      <c r="CG17" s="266">
        <v>1071436.95</v>
      </c>
      <c r="CH17" s="266">
        <v>1353861.87</v>
      </c>
      <c r="CI17" s="266">
        <v>1189799.45</v>
      </c>
      <c r="CJ17" s="266">
        <v>1540165.51</v>
      </c>
      <c r="CK17" s="266">
        <v>2311617.49</v>
      </c>
      <c r="CL17" s="266">
        <v>1219949.51</v>
      </c>
      <c r="CM17" s="266">
        <v>1598003</v>
      </c>
      <c r="CN17" s="266">
        <v>1236359.27</v>
      </c>
      <c r="CO17" s="266">
        <v>1463259.96</v>
      </c>
      <c r="CP17" s="266">
        <v>1165459.71</v>
      </c>
      <c r="CQ17" s="266">
        <v>1492607.32</v>
      </c>
      <c r="CR17" s="266">
        <v>1196518.3</v>
      </c>
      <c r="CS17" s="266">
        <v>1442542.22</v>
      </c>
      <c r="CT17" s="266">
        <v>1183471.55</v>
      </c>
      <c r="CU17" s="266">
        <v>1100734.06</v>
      </c>
      <c r="CV17" s="266">
        <v>1151239.63</v>
      </c>
      <c r="CW17" s="266">
        <v>832283.7</v>
      </c>
      <c r="CX17" s="266">
        <v>986452.64</v>
      </c>
      <c r="CY17" s="266">
        <v>1486486.67</v>
      </c>
      <c r="CZ17" s="266">
        <v>1014475.48</v>
      </c>
      <c r="DA17" s="266">
        <v>1243854.94</v>
      </c>
      <c r="DB17" s="266">
        <v>2210002</v>
      </c>
      <c r="DC17" s="266">
        <v>4289461.49</v>
      </c>
      <c r="DD17" s="266">
        <v>2128507.41</v>
      </c>
      <c r="DE17" s="266">
        <v>1788263.98</v>
      </c>
      <c r="DF17" s="266">
        <v>860451.56</v>
      </c>
      <c r="DG17" s="266">
        <v>2378930.38</v>
      </c>
      <c r="DH17" s="266">
        <v>1202504.38</v>
      </c>
      <c r="DI17" s="266"/>
      <c r="DJ17" s="257">
        <v>0</v>
      </c>
      <c r="DK17" s="257">
        <v>0</v>
      </c>
      <c r="DL17" s="257">
        <v>0</v>
      </c>
      <c r="DM17" s="257">
        <v>0</v>
      </c>
      <c r="DN17" s="257">
        <v>0</v>
      </c>
      <c r="DO17" s="257">
        <v>0</v>
      </c>
    </row>
    <row r="18" s="257" customFormat="1" spans="1:119">
      <c r="A18" s="263" t="s">
        <v>252</v>
      </c>
      <c r="B18" s="266">
        <v>10214817.1</v>
      </c>
      <c r="C18" s="267">
        <v>10214817.1</v>
      </c>
      <c r="D18" s="267"/>
      <c r="E18" s="267"/>
      <c r="F18" s="267"/>
      <c r="G18" s="267"/>
      <c r="H18" s="268"/>
      <c r="I18" s="267">
        <v>-1432326.74</v>
      </c>
      <c r="J18" s="267">
        <v>0</v>
      </c>
      <c r="K18" s="267">
        <v>0</v>
      </c>
      <c r="L18" s="267">
        <v>2471207.61</v>
      </c>
      <c r="M18" s="266">
        <v>2140775.65</v>
      </c>
      <c r="N18" s="267">
        <v>498310.78</v>
      </c>
      <c r="O18" s="267">
        <v>-14143.03</v>
      </c>
      <c r="P18" s="267">
        <v>113875.07</v>
      </c>
      <c r="Q18" s="267">
        <v>0</v>
      </c>
      <c r="R18" s="267">
        <v>0</v>
      </c>
      <c r="S18" s="267">
        <v>-1768.32</v>
      </c>
      <c r="T18" s="267">
        <v>6438886.08</v>
      </c>
      <c r="U18" s="267">
        <v>-33159.47</v>
      </c>
      <c r="V18" s="267">
        <v>1757950.14</v>
      </c>
      <c r="W18" s="267">
        <v>635956.82</v>
      </c>
      <c r="X18" s="267">
        <v>23567.95</v>
      </c>
      <c r="Y18" s="267">
        <v>-14843.28</v>
      </c>
      <c r="Z18" s="267">
        <v>72286.21</v>
      </c>
      <c r="AA18" s="267">
        <v>29449.24</v>
      </c>
      <c r="AB18" s="267">
        <v>-3524.9</v>
      </c>
      <c r="AC18" s="267">
        <v>1734625.26</v>
      </c>
      <c r="AD18" s="267">
        <v>214380.95</v>
      </c>
      <c r="AE18" s="267">
        <v>166724.61</v>
      </c>
      <c r="AF18" s="267">
        <v>29261.83</v>
      </c>
      <c r="AG18" s="267">
        <v>-580.69</v>
      </c>
      <c r="AH18" s="267">
        <v>-111.41</v>
      </c>
      <c r="AI18" s="267">
        <v>0</v>
      </c>
      <c r="AJ18" s="267">
        <v>21581.84</v>
      </c>
      <c r="AK18" s="267">
        <v>107483.13</v>
      </c>
      <c r="AL18" s="267">
        <v>261543.92</v>
      </c>
      <c r="AM18" s="267">
        <v>107701.89</v>
      </c>
      <c r="AN18" s="267">
        <v>113875.07</v>
      </c>
      <c r="AO18" s="257">
        <v>0</v>
      </c>
      <c r="AP18" s="257">
        <v>-483897.16</v>
      </c>
      <c r="AQ18" s="257">
        <v>-5649.46</v>
      </c>
      <c r="AR18" s="257">
        <v>3062977.46</v>
      </c>
      <c r="AS18" s="257">
        <v>-461.09</v>
      </c>
      <c r="AT18" s="257">
        <v>3865916.33</v>
      </c>
      <c r="AU18" s="257">
        <v>162927.71</v>
      </c>
      <c r="AV18" s="257">
        <v>180608.97</v>
      </c>
      <c r="AW18" s="257">
        <v>174404.17</v>
      </c>
      <c r="AX18" s="257">
        <v>132722.54</v>
      </c>
      <c r="AY18" s="257">
        <v>180284.35</v>
      </c>
      <c r="AZ18" s="257">
        <v>154750.5</v>
      </c>
      <c r="BA18" s="257">
        <v>61115.99</v>
      </c>
      <c r="BB18" s="257">
        <v>167261.28</v>
      </c>
      <c r="BC18" s="257">
        <v>67054.65</v>
      </c>
      <c r="BD18" s="257">
        <v>38442.69</v>
      </c>
      <c r="BE18" s="257">
        <v>133620.87</v>
      </c>
      <c r="BF18" s="257">
        <v>621070.77</v>
      </c>
      <c r="BG18" s="257">
        <v>51936.2</v>
      </c>
      <c r="BH18" s="257">
        <v>61544.21</v>
      </c>
      <c r="BI18" s="257">
        <v>45253.29</v>
      </c>
      <c r="BJ18" s="257">
        <v>54767.3</v>
      </c>
      <c r="BK18" s="257">
        <v>66098.81</v>
      </c>
      <c r="BL18" s="257">
        <v>51485.54</v>
      </c>
      <c r="BM18" s="257">
        <v>58830.15</v>
      </c>
      <c r="BN18" s="257">
        <v>34984.72</v>
      </c>
      <c r="BO18" s="257">
        <v>47291.8</v>
      </c>
      <c r="BP18" s="257">
        <v>56882.87</v>
      </c>
      <c r="BQ18" s="257">
        <v>17888.75</v>
      </c>
      <c r="BR18" s="257">
        <v>30352.23</v>
      </c>
      <c r="BS18" s="257">
        <v>15571.01</v>
      </c>
      <c r="BT18" s="257">
        <v>19127.25</v>
      </c>
      <c r="BU18" s="257">
        <v>13152.29</v>
      </c>
      <c r="BV18" s="257">
        <v>29517.44</v>
      </c>
      <c r="BW18" s="257">
        <v>13151.08</v>
      </c>
      <c r="BX18" s="257">
        <v>29927.12</v>
      </c>
      <c r="BY18" s="257">
        <v>4021.15</v>
      </c>
      <c r="BZ18" s="257">
        <v>9010.69</v>
      </c>
      <c r="CA18" s="257">
        <v>4819.79</v>
      </c>
      <c r="CB18" s="257">
        <v>6947.12</v>
      </c>
      <c r="CC18" s="257">
        <v>20344.67</v>
      </c>
      <c r="CD18" s="257">
        <v>26910.95</v>
      </c>
      <c r="CE18" s="257">
        <v>884266.95</v>
      </c>
      <c r="CF18" s="257">
        <v>1859.17</v>
      </c>
      <c r="CG18" s="257">
        <v>534.3</v>
      </c>
      <c r="CH18" s="257">
        <v>605.43</v>
      </c>
      <c r="CI18" s="257">
        <v>2295.81</v>
      </c>
      <c r="CJ18" s="257">
        <v>14752.66</v>
      </c>
      <c r="CK18" s="257">
        <v>6415.82</v>
      </c>
      <c r="CL18" s="257">
        <v>2166.71</v>
      </c>
      <c r="CM18" s="257">
        <v>549.59</v>
      </c>
      <c r="CN18" s="257">
        <v>2167.02</v>
      </c>
      <c r="CO18" s="257">
        <v>1888.2</v>
      </c>
      <c r="CP18" s="257">
        <v>0</v>
      </c>
      <c r="CQ18" s="257">
        <v>1490.35</v>
      </c>
      <c r="CR18" s="257">
        <v>1003.55</v>
      </c>
      <c r="CS18" s="257">
        <v>1392.82</v>
      </c>
      <c r="CT18" s="257">
        <v>2491.29</v>
      </c>
      <c r="CU18" s="257">
        <v>1008.93</v>
      </c>
      <c r="CV18" s="257">
        <v>1611.51</v>
      </c>
      <c r="CW18" s="257">
        <v>0</v>
      </c>
      <c r="CX18" s="257">
        <v>0</v>
      </c>
      <c r="CY18" s="257">
        <v>463.4</v>
      </c>
      <c r="CZ18" s="257">
        <v>0</v>
      </c>
      <c r="DA18" s="257">
        <v>545.8</v>
      </c>
      <c r="DB18" s="257">
        <v>9665.51</v>
      </c>
      <c r="DC18" s="257">
        <v>40552.48</v>
      </c>
      <c r="DD18" s="257">
        <v>21089.19</v>
      </c>
      <c r="DE18" s="257">
        <v>2755.87</v>
      </c>
      <c r="DF18" s="257">
        <v>375.9</v>
      </c>
      <c r="DG18" s="257">
        <v>17968.36</v>
      </c>
      <c r="DH18" s="257">
        <v>1918.79</v>
      </c>
      <c r="DJ18" s="257">
        <v>0</v>
      </c>
      <c r="DK18" s="257">
        <v>0</v>
      </c>
      <c r="DL18" s="257">
        <v>0</v>
      </c>
      <c r="DM18" s="257">
        <v>0</v>
      </c>
      <c r="DN18" s="257">
        <v>0</v>
      </c>
      <c r="DO18" s="257">
        <v>0</v>
      </c>
    </row>
    <row r="19" s="257" customFormat="1" spans="1:119">
      <c r="A19" s="263" t="s">
        <v>253</v>
      </c>
      <c r="B19" s="266">
        <v>729418188.97</v>
      </c>
      <c r="C19" s="267">
        <v>729418188.97</v>
      </c>
      <c r="D19" s="267"/>
      <c r="E19" s="267"/>
      <c r="F19" s="267"/>
      <c r="G19" s="267"/>
      <c r="H19" s="268"/>
      <c r="I19" s="267">
        <v>149337922.05</v>
      </c>
      <c r="J19" s="267">
        <v>63161.8</v>
      </c>
      <c r="K19" s="267">
        <v>0</v>
      </c>
      <c r="L19" s="267">
        <v>36562935.17</v>
      </c>
      <c r="M19" s="266">
        <v>151087906.57</v>
      </c>
      <c r="N19" s="267">
        <v>21311760.31</v>
      </c>
      <c r="O19" s="267">
        <v>16113970.92</v>
      </c>
      <c r="P19" s="267">
        <v>5665544.96</v>
      </c>
      <c r="Q19" s="267">
        <v>2916834.51</v>
      </c>
      <c r="R19" s="267">
        <v>0</v>
      </c>
      <c r="S19" s="267">
        <v>8379737.39</v>
      </c>
      <c r="T19" s="267">
        <v>337978415.29</v>
      </c>
      <c r="U19" s="267">
        <v>10570800.16</v>
      </c>
      <c r="V19" s="267">
        <v>3313436.16</v>
      </c>
      <c r="W19" s="267">
        <v>4257451.63</v>
      </c>
      <c r="X19" s="267">
        <v>7504979.22</v>
      </c>
      <c r="Y19" s="267">
        <v>3950035.15</v>
      </c>
      <c r="Z19" s="267">
        <v>5114568.86</v>
      </c>
      <c r="AA19" s="267">
        <v>1851663.99</v>
      </c>
      <c r="AB19" s="267">
        <v>6135485.94</v>
      </c>
      <c r="AC19" s="267">
        <v>100693210</v>
      </c>
      <c r="AD19" s="267">
        <v>26600668.57</v>
      </c>
      <c r="AE19" s="267">
        <v>11216184.7</v>
      </c>
      <c r="AF19" s="267">
        <v>3429346.88</v>
      </c>
      <c r="AG19" s="267">
        <v>2387232.37</v>
      </c>
      <c r="AH19" s="267">
        <v>625778.11</v>
      </c>
      <c r="AI19" s="267">
        <v>0</v>
      </c>
      <c r="AJ19" s="267">
        <v>6712157.07</v>
      </c>
      <c r="AK19" s="267">
        <v>7707765.86</v>
      </c>
      <c r="AL19" s="267">
        <v>3860633.11</v>
      </c>
      <c r="AM19" s="267">
        <v>3031204.27</v>
      </c>
      <c r="AN19" s="267">
        <v>4438062.87</v>
      </c>
      <c r="AO19" s="257">
        <v>1227482.09</v>
      </c>
      <c r="AP19" s="257">
        <v>68077750.48</v>
      </c>
      <c r="AQ19" s="257">
        <v>6410892.38</v>
      </c>
      <c r="AR19" s="257">
        <v>11333716.18</v>
      </c>
      <c r="AS19" s="257">
        <v>5386851.03</v>
      </c>
      <c r="AT19" s="257">
        <v>246769205.22</v>
      </c>
      <c r="AU19" s="257">
        <v>9834171.53</v>
      </c>
      <c r="AV19" s="257">
        <v>11401088.93</v>
      </c>
      <c r="AW19" s="257">
        <v>12105917.2</v>
      </c>
      <c r="AX19" s="257">
        <v>10408385.93</v>
      </c>
      <c r="AY19" s="257">
        <v>10256531.02</v>
      </c>
      <c r="AZ19" s="257">
        <v>10231601.69</v>
      </c>
      <c r="BA19" s="257">
        <v>4209431.58</v>
      </c>
      <c r="BB19" s="257">
        <v>10875828.81</v>
      </c>
      <c r="BC19" s="257">
        <v>5522434.97</v>
      </c>
      <c r="BD19" s="257">
        <v>4889823.89</v>
      </c>
      <c r="BE19" s="257">
        <v>12313420.22</v>
      </c>
      <c r="BF19" s="257">
        <v>10032824.78</v>
      </c>
      <c r="BG19" s="257">
        <v>9737658.24</v>
      </c>
      <c r="BH19" s="257">
        <v>6208607.36</v>
      </c>
      <c r="BI19" s="257">
        <v>4261832.22</v>
      </c>
      <c r="BJ19" s="257">
        <v>4091331.92</v>
      </c>
      <c r="BK19" s="257">
        <v>4603144.06</v>
      </c>
      <c r="BL19" s="257">
        <v>5557011.64</v>
      </c>
      <c r="BM19" s="257">
        <v>3183568.13</v>
      </c>
      <c r="BN19" s="257">
        <v>3361454.66</v>
      </c>
      <c r="BO19" s="257">
        <v>4002789.33</v>
      </c>
      <c r="BP19" s="257">
        <v>5141024.39</v>
      </c>
      <c r="BQ19" s="257">
        <v>2190076.19</v>
      </c>
      <c r="BR19" s="257">
        <v>2200629.22</v>
      </c>
      <c r="BS19" s="257">
        <v>1799585.68</v>
      </c>
      <c r="BT19" s="257">
        <v>2659481.25</v>
      </c>
      <c r="BU19" s="257">
        <v>2025151.67</v>
      </c>
      <c r="BV19" s="257">
        <v>3155798.01</v>
      </c>
      <c r="BW19" s="257">
        <v>2220834.29</v>
      </c>
      <c r="BX19" s="257">
        <v>4973396.46</v>
      </c>
      <c r="BY19" s="257">
        <v>953474.48</v>
      </c>
      <c r="BZ19" s="257">
        <v>2129698.44</v>
      </c>
      <c r="CA19" s="257">
        <v>1005741.73</v>
      </c>
      <c r="CB19" s="257">
        <v>1381597.96</v>
      </c>
      <c r="CC19" s="257">
        <v>1610239.17</v>
      </c>
      <c r="CD19" s="257">
        <v>5394191.74</v>
      </c>
      <c r="CE19" s="257">
        <v>7905147.99</v>
      </c>
      <c r="CF19" s="257">
        <v>1477362.53</v>
      </c>
      <c r="CG19" s="257">
        <v>1035954.65</v>
      </c>
      <c r="CH19" s="257">
        <v>1352028.44</v>
      </c>
      <c r="CI19" s="257">
        <v>1167590.64</v>
      </c>
      <c r="CJ19" s="257">
        <v>1521122.28</v>
      </c>
      <c r="CK19" s="257">
        <v>2291996</v>
      </c>
      <c r="CL19" s="257">
        <v>1183905.8</v>
      </c>
      <c r="CM19" s="257">
        <v>1582813.41</v>
      </c>
      <c r="CN19" s="257">
        <v>1227962.72</v>
      </c>
      <c r="CO19" s="257">
        <v>1450608.76</v>
      </c>
      <c r="CP19" s="257">
        <v>1155959.71</v>
      </c>
      <c r="CQ19" s="257">
        <v>1451513.97</v>
      </c>
      <c r="CR19" s="257">
        <v>1150902.75</v>
      </c>
      <c r="CS19" s="257">
        <v>1415578.4</v>
      </c>
      <c r="CT19" s="257">
        <v>1170169.26</v>
      </c>
      <c r="CU19" s="257">
        <v>1072525.13</v>
      </c>
      <c r="CV19" s="257">
        <v>1126872.12</v>
      </c>
      <c r="CW19" s="257">
        <v>819235.7</v>
      </c>
      <c r="CX19" s="257">
        <v>968070.64</v>
      </c>
      <c r="CY19" s="257">
        <v>1463161.27</v>
      </c>
      <c r="CZ19" s="257">
        <v>1002295.48</v>
      </c>
      <c r="DA19" s="257">
        <v>1214022.14</v>
      </c>
      <c r="DB19" s="257">
        <v>2176849.7</v>
      </c>
      <c r="DC19" s="257">
        <v>4228089.66</v>
      </c>
      <c r="DD19" s="257">
        <v>2089882.36</v>
      </c>
      <c r="DE19" s="257">
        <v>1783598.65</v>
      </c>
      <c r="DF19" s="257">
        <v>832823.66</v>
      </c>
      <c r="DG19" s="257">
        <v>2340289.02</v>
      </c>
      <c r="DH19" s="257">
        <v>1181093.59</v>
      </c>
      <c r="DJ19" s="257">
        <v>0</v>
      </c>
      <c r="DK19" s="257">
        <v>0</v>
      </c>
      <c r="DL19" s="257">
        <v>0</v>
      </c>
      <c r="DM19" s="257">
        <v>0</v>
      </c>
      <c r="DN19" s="257">
        <v>0</v>
      </c>
      <c r="DO19" s="257">
        <v>0</v>
      </c>
    </row>
    <row r="20" s="257" customFormat="1" spans="1:119">
      <c r="A20" s="263" t="s">
        <v>254</v>
      </c>
      <c r="B20" s="266">
        <v>5748754.72</v>
      </c>
      <c r="C20" s="267">
        <v>5748754.72</v>
      </c>
      <c r="D20" s="267"/>
      <c r="E20" s="267"/>
      <c r="F20" s="267"/>
      <c r="G20" s="267"/>
      <c r="H20" s="268"/>
      <c r="I20" s="267">
        <v>1837523.33</v>
      </c>
      <c r="J20" s="267">
        <v>0</v>
      </c>
      <c r="K20" s="267">
        <v>0</v>
      </c>
      <c r="L20" s="267">
        <v>0</v>
      </c>
      <c r="M20" s="266">
        <v>0</v>
      </c>
      <c r="N20" s="267">
        <v>0</v>
      </c>
      <c r="O20" s="267">
        <v>0</v>
      </c>
      <c r="P20" s="267">
        <v>0</v>
      </c>
      <c r="Q20" s="267">
        <v>0</v>
      </c>
      <c r="R20" s="267">
        <v>0</v>
      </c>
      <c r="S20" s="267">
        <v>0</v>
      </c>
      <c r="T20" s="267">
        <v>3911231.39</v>
      </c>
      <c r="U20" s="267">
        <v>0</v>
      </c>
      <c r="V20" s="267">
        <v>0</v>
      </c>
      <c r="W20" s="267">
        <v>0</v>
      </c>
      <c r="X20" s="267">
        <v>0</v>
      </c>
      <c r="Y20" s="267">
        <v>0</v>
      </c>
      <c r="Z20" s="267">
        <v>0</v>
      </c>
      <c r="AA20" s="267">
        <v>0</v>
      </c>
      <c r="AB20" s="267">
        <v>0</v>
      </c>
      <c r="AC20" s="267">
        <v>0</v>
      </c>
      <c r="AD20" s="267">
        <v>0</v>
      </c>
      <c r="AE20" s="267">
        <v>0</v>
      </c>
      <c r="AF20" s="267">
        <v>0</v>
      </c>
      <c r="AG20" s="267">
        <v>0</v>
      </c>
      <c r="AH20" s="267">
        <v>0</v>
      </c>
      <c r="AI20" s="267">
        <v>0</v>
      </c>
      <c r="AJ20" s="267">
        <v>0</v>
      </c>
      <c r="AK20" s="267">
        <v>0</v>
      </c>
      <c r="AL20" s="267">
        <v>0</v>
      </c>
      <c r="AM20" s="267">
        <v>0</v>
      </c>
      <c r="AN20" s="267">
        <v>0</v>
      </c>
      <c r="AO20" s="257">
        <v>0</v>
      </c>
      <c r="AP20" s="257">
        <v>0</v>
      </c>
      <c r="AQ20" s="257">
        <v>0</v>
      </c>
      <c r="AR20" s="257">
        <v>3911231.39</v>
      </c>
      <c r="AS20" s="257">
        <v>0</v>
      </c>
      <c r="AT20" s="257">
        <v>0</v>
      </c>
      <c r="AU20" s="257">
        <v>0</v>
      </c>
      <c r="AV20" s="257">
        <v>0</v>
      </c>
      <c r="AW20" s="257">
        <v>0</v>
      </c>
      <c r="AX20" s="257">
        <v>0</v>
      </c>
      <c r="AY20" s="257">
        <v>0</v>
      </c>
      <c r="AZ20" s="257">
        <v>0</v>
      </c>
      <c r="BA20" s="257">
        <v>0</v>
      </c>
      <c r="BB20" s="257">
        <v>0</v>
      </c>
      <c r="BC20" s="257">
        <v>0</v>
      </c>
      <c r="BD20" s="257">
        <v>0</v>
      </c>
      <c r="BE20" s="257">
        <v>0</v>
      </c>
      <c r="BF20" s="257">
        <v>0</v>
      </c>
      <c r="BG20" s="257">
        <v>0</v>
      </c>
      <c r="BH20" s="257">
        <v>0</v>
      </c>
      <c r="BI20" s="257">
        <v>0</v>
      </c>
      <c r="BJ20" s="257">
        <v>0</v>
      </c>
      <c r="BK20" s="257">
        <v>0</v>
      </c>
      <c r="BL20" s="257">
        <v>0</v>
      </c>
      <c r="BM20" s="257">
        <v>0</v>
      </c>
      <c r="BN20" s="257">
        <v>0</v>
      </c>
      <c r="BO20" s="257">
        <v>0</v>
      </c>
      <c r="BP20" s="257">
        <v>0</v>
      </c>
      <c r="BQ20" s="257">
        <v>0</v>
      </c>
      <c r="BR20" s="257">
        <v>0</v>
      </c>
      <c r="BS20" s="257">
        <v>0</v>
      </c>
      <c r="BT20" s="257">
        <v>0</v>
      </c>
      <c r="BU20" s="257">
        <v>0</v>
      </c>
      <c r="BV20" s="257">
        <v>0</v>
      </c>
      <c r="BW20" s="257">
        <v>0</v>
      </c>
      <c r="BX20" s="257">
        <v>0</v>
      </c>
      <c r="BY20" s="257">
        <v>0</v>
      </c>
      <c r="BZ20" s="257">
        <v>0</v>
      </c>
      <c r="CA20" s="257">
        <v>0</v>
      </c>
      <c r="CB20" s="257">
        <v>0</v>
      </c>
      <c r="CC20" s="257">
        <v>0</v>
      </c>
      <c r="CD20" s="257">
        <v>0</v>
      </c>
      <c r="CE20" s="257">
        <v>0</v>
      </c>
      <c r="CF20" s="257">
        <v>0</v>
      </c>
      <c r="CG20" s="257">
        <v>0</v>
      </c>
      <c r="CH20" s="257">
        <v>0</v>
      </c>
      <c r="CI20" s="257">
        <v>0</v>
      </c>
      <c r="CJ20" s="257">
        <v>0</v>
      </c>
      <c r="CK20" s="257">
        <v>0</v>
      </c>
      <c r="CL20" s="257">
        <v>0</v>
      </c>
      <c r="CM20" s="257">
        <v>0</v>
      </c>
      <c r="CN20" s="257">
        <v>0</v>
      </c>
      <c r="CO20" s="257">
        <v>0</v>
      </c>
      <c r="CP20" s="257">
        <v>0</v>
      </c>
      <c r="CQ20" s="257">
        <v>0</v>
      </c>
      <c r="CR20" s="257">
        <v>0</v>
      </c>
      <c r="CS20" s="257">
        <v>0</v>
      </c>
      <c r="CT20" s="257">
        <v>0</v>
      </c>
      <c r="CU20" s="257">
        <v>0</v>
      </c>
      <c r="CV20" s="257">
        <v>0</v>
      </c>
      <c r="CW20" s="257">
        <v>0</v>
      </c>
      <c r="CX20" s="257">
        <v>0</v>
      </c>
      <c r="CY20" s="257">
        <v>0</v>
      </c>
      <c r="CZ20" s="257">
        <v>0</v>
      </c>
      <c r="DA20" s="257">
        <v>0</v>
      </c>
      <c r="DB20" s="257">
        <v>0</v>
      </c>
      <c r="DC20" s="257">
        <v>0</v>
      </c>
      <c r="DD20" s="257">
        <v>0</v>
      </c>
      <c r="DE20" s="257">
        <v>0</v>
      </c>
      <c r="DF20" s="257">
        <v>0</v>
      </c>
      <c r="DG20" s="257">
        <v>0</v>
      </c>
      <c r="DH20" s="257">
        <v>0</v>
      </c>
      <c r="DJ20" s="257">
        <v>0</v>
      </c>
      <c r="DK20" s="257">
        <v>0</v>
      </c>
      <c r="DL20" s="257">
        <v>0</v>
      </c>
      <c r="DM20" s="257">
        <v>0</v>
      </c>
      <c r="DN20" s="257">
        <v>0</v>
      </c>
      <c r="DO20" s="257">
        <v>0</v>
      </c>
    </row>
    <row r="21" s="257" customFormat="1" spans="1:119">
      <c r="A21" s="263" t="s">
        <v>255</v>
      </c>
      <c r="B21" s="266">
        <v>4263930.61</v>
      </c>
      <c r="C21" s="267">
        <v>4263930.61</v>
      </c>
      <c r="D21" s="267"/>
      <c r="E21" s="267"/>
      <c r="F21" s="267"/>
      <c r="G21" s="267"/>
      <c r="H21" s="268"/>
      <c r="I21" s="267">
        <v>0</v>
      </c>
      <c r="J21" s="267">
        <v>0</v>
      </c>
      <c r="K21" s="267">
        <v>0</v>
      </c>
      <c r="L21" s="267">
        <v>0</v>
      </c>
      <c r="M21" s="266">
        <v>0</v>
      </c>
      <c r="N21" s="267">
        <v>0</v>
      </c>
      <c r="O21" s="267">
        <v>0</v>
      </c>
      <c r="P21" s="267">
        <v>0</v>
      </c>
      <c r="Q21" s="267">
        <v>0</v>
      </c>
      <c r="R21" s="267">
        <v>0</v>
      </c>
      <c r="S21" s="267">
        <v>0</v>
      </c>
      <c r="T21" s="267">
        <v>4263930.61</v>
      </c>
      <c r="U21" s="267">
        <v>0</v>
      </c>
      <c r="V21" s="267">
        <v>0</v>
      </c>
      <c r="W21" s="267">
        <v>0</v>
      </c>
      <c r="X21" s="267">
        <v>0</v>
      </c>
      <c r="Y21" s="267">
        <v>0</v>
      </c>
      <c r="Z21" s="267">
        <v>0</v>
      </c>
      <c r="AA21" s="267">
        <v>0</v>
      </c>
      <c r="AB21" s="267">
        <v>0</v>
      </c>
      <c r="AC21" s="267">
        <v>0</v>
      </c>
      <c r="AD21" s="267">
        <v>0</v>
      </c>
      <c r="AE21" s="267">
        <v>0</v>
      </c>
      <c r="AF21" s="267">
        <v>0</v>
      </c>
      <c r="AG21" s="267">
        <v>0</v>
      </c>
      <c r="AH21" s="267">
        <v>0</v>
      </c>
      <c r="AI21" s="267">
        <v>0</v>
      </c>
      <c r="AJ21" s="267">
        <v>0</v>
      </c>
      <c r="AK21" s="267">
        <v>0</v>
      </c>
      <c r="AL21" s="267">
        <v>0</v>
      </c>
      <c r="AM21" s="267">
        <v>0</v>
      </c>
      <c r="AN21" s="267">
        <v>0</v>
      </c>
      <c r="AO21" s="257">
        <v>0</v>
      </c>
      <c r="AP21" s="257">
        <v>0</v>
      </c>
      <c r="AQ21" s="257">
        <v>0</v>
      </c>
      <c r="AR21" s="257">
        <v>0</v>
      </c>
      <c r="AS21" s="257">
        <v>0</v>
      </c>
      <c r="AT21" s="257">
        <v>4263930.61</v>
      </c>
      <c r="AU21" s="257">
        <v>26691.97</v>
      </c>
      <c r="AV21" s="257">
        <v>35749.32</v>
      </c>
      <c r="AW21" s="257">
        <v>24812.84</v>
      </c>
      <c r="AX21" s="257">
        <v>17882.99</v>
      </c>
      <c r="AY21" s="257">
        <v>24278.77</v>
      </c>
      <c r="AZ21" s="257">
        <v>71006.14</v>
      </c>
      <c r="BA21" s="257">
        <v>34837.08</v>
      </c>
      <c r="BB21" s="257">
        <v>26160.94</v>
      </c>
      <c r="BC21" s="257">
        <v>10013.58</v>
      </c>
      <c r="BD21" s="257">
        <v>4789.26</v>
      </c>
      <c r="BE21" s="257">
        <v>10225.85</v>
      </c>
      <c r="BF21" s="257">
        <v>17499.21</v>
      </c>
      <c r="BG21" s="257">
        <v>15153.7</v>
      </c>
      <c r="BH21" s="257">
        <v>7581.81</v>
      </c>
      <c r="BI21" s="257">
        <v>12427.45</v>
      </c>
      <c r="BJ21" s="257">
        <v>30233.3</v>
      </c>
      <c r="BK21" s="257">
        <v>36572.92</v>
      </c>
      <c r="BL21" s="257">
        <v>17059.63</v>
      </c>
      <c r="BM21" s="257">
        <v>53881.32</v>
      </c>
      <c r="BN21" s="257">
        <v>76748.68</v>
      </c>
      <c r="BO21" s="257">
        <v>31688.67</v>
      </c>
      <c r="BP21" s="257">
        <v>9303.01</v>
      </c>
      <c r="BQ21" s="257">
        <v>19716.29</v>
      </c>
      <c r="BR21" s="257">
        <v>28497.37</v>
      </c>
      <c r="BS21" s="257">
        <v>15198.12</v>
      </c>
      <c r="BT21" s="257">
        <v>25198.69</v>
      </c>
      <c r="BU21" s="257">
        <v>33905</v>
      </c>
      <c r="BV21" s="257">
        <v>56223.85</v>
      </c>
      <c r="BW21" s="257">
        <v>31226.42</v>
      </c>
      <c r="BX21" s="257">
        <v>13556.41</v>
      </c>
      <c r="BY21" s="257">
        <v>35482.35</v>
      </c>
      <c r="BZ21" s="257">
        <v>6184.9</v>
      </c>
      <c r="CA21" s="257">
        <v>5662.28</v>
      </c>
      <c r="CB21" s="257">
        <v>17920.77</v>
      </c>
      <c r="CC21" s="257">
        <v>20567.35</v>
      </c>
      <c r="CD21" s="257">
        <v>3887.37</v>
      </c>
      <c r="CE21" s="257">
        <v>2804523.77</v>
      </c>
      <c r="CF21" s="257">
        <v>5506</v>
      </c>
      <c r="CG21" s="257">
        <v>34948</v>
      </c>
      <c r="CH21" s="257">
        <v>1228</v>
      </c>
      <c r="CI21" s="257">
        <v>19913</v>
      </c>
      <c r="CJ21" s="257">
        <v>4290.57</v>
      </c>
      <c r="CK21" s="257">
        <v>13205.67</v>
      </c>
      <c r="CL21" s="257">
        <v>33877</v>
      </c>
      <c r="CM21" s="257">
        <v>14640</v>
      </c>
      <c r="CN21" s="257">
        <v>6229.53</v>
      </c>
      <c r="CO21" s="257">
        <v>10763</v>
      </c>
      <c r="CP21" s="257">
        <v>9500</v>
      </c>
      <c r="CQ21" s="257">
        <v>39603</v>
      </c>
      <c r="CR21" s="257">
        <v>44612</v>
      </c>
      <c r="CS21" s="257">
        <v>25571</v>
      </c>
      <c r="CT21" s="257">
        <v>10811</v>
      </c>
      <c r="CU21" s="257">
        <v>27200</v>
      </c>
      <c r="CV21" s="257">
        <v>22756</v>
      </c>
      <c r="CW21" s="257">
        <v>13048</v>
      </c>
      <c r="CX21" s="257">
        <v>18382</v>
      </c>
      <c r="CY21" s="257">
        <v>22862</v>
      </c>
      <c r="CZ21" s="257">
        <v>12180</v>
      </c>
      <c r="DA21" s="257">
        <v>29287</v>
      </c>
      <c r="DB21" s="257">
        <v>23486.79</v>
      </c>
      <c r="DC21" s="257">
        <v>20819.35</v>
      </c>
      <c r="DD21" s="257">
        <v>17535.86</v>
      </c>
      <c r="DE21" s="257">
        <v>1909.46</v>
      </c>
      <c r="DF21" s="257">
        <v>27252</v>
      </c>
      <c r="DG21" s="257">
        <v>20673</v>
      </c>
      <c r="DH21" s="257">
        <v>19492</v>
      </c>
      <c r="DJ21" s="257">
        <v>0</v>
      </c>
      <c r="DK21" s="257">
        <v>0</v>
      </c>
      <c r="DL21" s="257">
        <v>0</v>
      </c>
      <c r="DM21" s="257">
        <v>0</v>
      </c>
      <c r="DN21" s="257">
        <v>0</v>
      </c>
      <c r="DO21" s="257">
        <v>0</v>
      </c>
    </row>
    <row r="22" s="257" customFormat="1" spans="1:119">
      <c r="A22" s="265" t="s">
        <v>47</v>
      </c>
      <c r="B22" s="266">
        <v>497152304.79</v>
      </c>
      <c r="C22" s="266">
        <v>497152304.79</v>
      </c>
      <c r="D22" s="266"/>
      <c r="E22" s="266"/>
      <c r="F22" s="266"/>
      <c r="G22" s="266"/>
      <c r="H22" s="266"/>
      <c r="I22" s="266">
        <v>-427683660.54</v>
      </c>
      <c r="J22" s="266">
        <v>3762638.99</v>
      </c>
      <c r="K22" s="266">
        <v>0</v>
      </c>
      <c r="L22" s="266">
        <v>232279430.72</v>
      </c>
      <c r="M22" s="266">
        <v>146932417.62</v>
      </c>
      <c r="N22" s="266">
        <v>-32583000.16</v>
      </c>
      <c r="O22" s="266">
        <v>-16099827.89</v>
      </c>
      <c r="P22" s="266">
        <v>-5778486.2</v>
      </c>
      <c r="Q22" s="266">
        <v>-2916260.29</v>
      </c>
      <c r="R22" s="266">
        <v>-743374.73</v>
      </c>
      <c r="S22" s="266">
        <v>-8377787.94</v>
      </c>
      <c r="T22" s="266">
        <v>608360215.21</v>
      </c>
      <c r="U22" s="266">
        <v>-10528246.73</v>
      </c>
      <c r="V22" s="266">
        <v>67270665.12</v>
      </c>
      <c r="W22" s="266">
        <v>37810710.49</v>
      </c>
      <c r="X22" s="266">
        <v>59466661.61</v>
      </c>
      <c r="Y22" s="266">
        <v>2464881.45</v>
      </c>
      <c r="Z22" s="266">
        <v>73134470.87</v>
      </c>
      <c r="AA22" s="266">
        <v>2660287.91</v>
      </c>
      <c r="AB22" s="266">
        <v>-5565923.31</v>
      </c>
      <c r="AC22" s="266">
        <v>139726592.27</v>
      </c>
      <c r="AD22" s="266">
        <v>3294403.36</v>
      </c>
      <c r="AE22" s="266">
        <v>11867611.99</v>
      </c>
      <c r="AF22" s="266">
        <v>622051.69</v>
      </c>
      <c r="AG22" s="266">
        <v>-2386651.68</v>
      </c>
      <c r="AH22" s="266">
        <v>-625666.7</v>
      </c>
      <c r="AI22" s="266">
        <v>0</v>
      </c>
      <c r="AJ22" s="266">
        <v>-1707703.22</v>
      </c>
      <c r="AK22" s="266">
        <v>6283359.1</v>
      </c>
      <c r="AL22" s="266">
        <v>-52252567.69</v>
      </c>
      <c r="AM22" s="266">
        <v>15093911.65</v>
      </c>
      <c r="AN22" s="266">
        <v>-4551004.11</v>
      </c>
      <c r="AO22" s="266">
        <v>-1227482.09</v>
      </c>
      <c r="AP22" s="266">
        <v>-61580587.11</v>
      </c>
      <c r="AQ22" s="266">
        <v>-6019917.48</v>
      </c>
      <c r="AR22" s="266">
        <v>382591422.91</v>
      </c>
      <c r="AS22" s="266">
        <v>-5373565.12</v>
      </c>
      <c r="AT22" s="266">
        <v>298742862.01</v>
      </c>
      <c r="AU22" s="266">
        <v>13583498.09</v>
      </c>
      <c r="AV22" s="266">
        <v>15326479.7</v>
      </c>
      <c r="AW22" s="266">
        <v>12241998.59</v>
      </c>
      <c r="AX22" s="266">
        <v>8315650.96</v>
      </c>
      <c r="AY22" s="266">
        <v>17189570.85</v>
      </c>
      <c r="AZ22" s="266">
        <v>14007635.65</v>
      </c>
      <c r="BA22" s="266">
        <v>3824960.31</v>
      </c>
      <c r="BB22" s="266">
        <v>17984740.34</v>
      </c>
      <c r="BC22" s="266">
        <v>5223189.2</v>
      </c>
      <c r="BD22" s="266">
        <v>3087784.56</v>
      </c>
      <c r="BE22" s="266">
        <v>11057194.72</v>
      </c>
      <c r="BF22" s="266">
        <v>71922719.71</v>
      </c>
      <c r="BG22" s="266">
        <v>2087027.51</v>
      </c>
      <c r="BH22" s="266">
        <v>3214440.77</v>
      </c>
      <c r="BI22" s="266">
        <v>3675139.12</v>
      </c>
      <c r="BJ22" s="266">
        <v>3379370.99</v>
      </c>
      <c r="BK22" s="266">
        <v>2907137.03</v>
      </c>
      <c r="BL22" s="266">
        <v>2843630.68</v>
      </c>
      <c r="BM22" s="266">
        <v>4137874.6</v>
      </c>
      <c r="BN22" s="266">
        <v>1265221.16</v>
      </c>
      <c r="BO22" s="266">
        <v>2447723.05</v>
      </c>
      <c r="BP22" s="266">
        <v>3879745.09</v>
      </c>
      <c r="BQ22" s="266">
        <v>611515.22</v>
      </c>
      <c r="BR22" s="266">
        <v>1517748.14</v>
      </c>
      <c r="BS22" s="266">
        <v>62936.23</v>
      </c>
      <c r="BT22" s="266">
        <v>573359.85</v>
      </c>
      <c r="BU22" s="266">
        <v>-327936.23</v>
      </c>
      <c r="BV22" s="266">
        <v>723643.49</v>
      </c>
      <c r="BW22" s="266">
        <v>-69218.03</v>
      </c>
      <c r="BX22" s="266">
        <v>-4777584.13</v>
      </c>
      <c r="BY22" s="266">
        <v>-265281.92</v>
      </c>
      <c r="BZ22" s="266">
        <v>-343366.48</v>
      </c>
      <c r="CA22" s="266">
        <v>-91535.96</v>
      </c>
      <c r="CB22" s="266">
        <v>-27234.25</v>
      </c>
      <c r="CC22" s="266">
        <v>774109.84</v>
      </c>
      <c r="CD22" s="266">
        <v>-2145676.77</v>
      </c>
      <c r="CE22" s="266">
        <v>102444160.27</v>
      </c>
      <c r="CF22" s="266">
        <v>-708366.4</v>
      </c>
      <c r="CG22" s="266">
        <v>-822042.58</v>
      </c>
      <c r="CH22" s="266">
        <v>-942139.14</v>
      </c>
      <c r="CI22" s="266">
        <v>-785407.12</v>
      </c>
      <c r="CJ22" s="266">
        <v>-304750.13</v>
      </c>
      <c r="CK22" s="266">
        <v>-1481992.23</v>
      </c>
      <c r="CL22" s="266">
        <v>-904307.37</v>
      </c>
      <c r="CM22" s="266">
        <v>-1197009.68</v>
      </c>
      <c r="CN22" s="266">
        <v>-999466.31</v>
      </c>
      <c r="CO22" s="266">
        <v>-1013854.54</v>
      </c>
      <c r="CP22" s="266">
        <v>-1025637.85</v>
      </c>
      <c r="CQ22" s="266">
        <v>-1052640.98</v>
      </c>
      <c r="CR22" s="266">
        <v>-792384.06</v>
      </c>
      <c r="CS22" s="266">
        <v>-845430.07</v>
      </c>
      <c r="CT22" s="266">
        <v>-199846.72</v>
      </c>
      <c r="CU22" s="266">
        <v>-613746.43</v>
      </c>
      <c r="CV22" s="266">
        <v>-678836.64</v>
      </c>
      <c r="CW22" s="266">
        <v>-739998.05</v>
      </c>
      <c r="CX22" s="266">
        <v>-918876.63</v>
      </c>
      <c r="CY22" s="266">
        <v>-1182293.91</v>
      </c>
      <c r="CZ22" s="266">
        <v>-882311.51</v>
      </c>
      <c r="DA22" s="266">
        <v>-987877.44</v>
      </c>
      <c r="DB22" s="266">
        <v>-1070981.24</v>
      </c>
      <c r="DC22" s="266">
        <v>-365017.56</v>
      </c>
      <c r="DD22" s="266">
        <v>-356830.65</v>
      </c>
      <c r="DE22" s="266">
        <v>-1476141.81</v>
      </c>
      <c r="DF22" s="266">
        <v>-631977.51</v>
      </c>
      <c r="DG22" s="266">
        <v>-82321.18</v>
      </c>
      <c r="DH22" s="266">
        <v>-457024.2</v>
      </c>
      <c r="DI22" s="266"/>
      <c r="DJ22" s="257">
        <v>0</v>
      </c>
      <c r="DK22" s="257">
        <v>0</v>
      </c>
      <c r="DL22" s="257">
        <v>0</v>
      </c>
      <c r="DM22" s="257">
        <v>0</v>
      </c>
      <c r="DN22" s="257">
        <v>0</v>
      </c>
      <c r="DO22" s="257">
        <v>0</v>
      </c>
    </row>
    <row r="23" s="257" customFormat="1" spans="1:119">
      <c r="A23" s="263" t="s">
        <v>256</v>
      </c>
      <c r="B23" s="266">
        <v>5465330.87</v>
      </c>
      <c r="C23" s="267">
        <v>5465330.87</v>
      </c>
      <c r="D23" s="267"/>
      <c r="E23" s="267"/>
      <c r="F23" s="267"/>
      <c r="G23" s="267"/>
      <c r="H23" s="268"/>
      <c r="I23" s="267">
        <v>4142726.9</v>
      </c>
      <c r="J23" s="267">
        <v>666421.88</v>
      </c>
      <c r="K23" s="267">
        <v>0</v>
      </c>
      <c r="L23" s="267">
        <v>2145.93</v>
      </c>
      <c r="M23" s="266">
        <v>0</v>
      </c>
      <c r="N23" s="267">
        <v>10290.96</v>
      </c>
      <c r="O23" s="267">
        <v>0</v>
      </c>
      <c r="P23" s="267">
        <v>86471.38</v>
      </c>
      <c r="Q23" s="267">
        <v>0</v>
      </c>
      <c r="R23" s="267">
        <v>-49655.46</v>
      </c>
      <c r="S23" s="267">
        <v>0</v>
      </c>
      <c r="T23" s="267">
        <v>606929.28</v>
      </c>
      <c r="U23" s="267">
        <v>2145.93</v>
      </c>
      <c r="V23" s="267">
        <v>0</v>
      </c>
      <c r="W23" s="267">
        <v>0</v>
      </c>
      <c r="X23" s="267">
        <v>0</v>
      </c>
      <c r="Y23" s="267">
        <v>0</v>
      </c>
      <c r="Z23" s="267">
        <v>0</v>
      </c>
      <c r="AA23" s="267">
        <v>0</v>
      </c>
      <c r="AB23" s="267">
        <v>0</v>
      </c>
      <c r="AC23" s="267">
        <v>0</v>
      </c>
      <c r="AD23" s="267">
        <v>0</v>
      </c>
      <c r="AE23" s="267">
        <v>0</v>
      </c>
      <c r="AF23" s="267">
        <v>0</v>
      </c>
      <c r="AG23" s="267">
        <v>0</v>
      </c>
      <c r="AH23" s="267">
        <v>0</v>
      </c>
      <c r="AI23" s="267">
        <v>0</v>
      </c>
      <c r="AJ23" s="267">
        <v>0</v>
      </c>
      <c r="AK23" s="267">
        <v>10290.96</v>
      </c>
      <c r="AL23" s="267">
        <v>0</v>
      </c>
      <c r="AM23" s="267">
        <v>0</v>
      </c>
      <c r="AN23" s="267">
        <v>86471.38</v>
      </c>
      <c r="AO23" s="257">
        <v>0</v>
      </c>
      <c r="AP23" s="257">
        <v>0</v>
      </c>
      <c r="AQ23" s="257">
        <v>0</v>
      </c>
      <c r="AR23" s="257">
        <v>0</v>
      </c>
      <c r="AS23" s="257">
        <v>0</v>
      </c>
      <c r="AT23" s="257">
        <v>606929.28</v>
      </c>
      <c r="AU23" s="257">
        <v>0.02</v>
      </c>
      <c r="AV23" s="257">
        <v>0</v>
      </c>
      <c r="AW23" s="257">
        <v>20027.09</v>
      </c>
      <c r="AX23" s="257">
        <v>46156.2</v>
      </c>
      <c r="AY23" s="257">
        <v>53137.3</v>
      </c>
      <c r="AZ23" s="257">
        <v>18724.2</v>
      </c>
      <c r="BA23" s="257">
        <v>0.5</v>
      </c>
      <c r="BB23" s="257">
        <v>18973.77</v>
      </c>
      <c r="BC23" s="257">
        <v>59361.63</v>
      </c>
      <c r="BD23" s="257">
        <v>23375.98</v>
      </c>
      <c r="BE23" s="257">
        <v>76390.15</v>
      </c>
      <c r="BF23" s="257">
        <v>8.2</v>
      </c>
      <c r="BG23" s="257">
        <v>0</v>
      </c>
      <c r="BH23" s="257">
        <v>0</v>
      </c>
      <c r="BI23" s="257">
        <v>8714.66</v>
      </c>
      <c r="BJ23" s="257">
        <v>0</v>
      </c>
      <c r="BK23" s="257">
        <v>6649.19</v>
      </c>
      <c r="BL23" s="257">
        <v>46222.45</v>
      </c>
      <c r="BM23" s="257">
        <v>0</v>
      </c>
      <c r="BN23" s="257">
        <v>4724.04</v>
      </c>
      <c r="BO23" s="257">
        <v>9941.07</v>
      </c>
      <c r="BP23" s="257">
        <v>16185.75</v>
      </c>
      <c r="BQ23" s="257">
        <v>0</v>
      </c>
      <c r="BR23" s="257">
        <v>6903.91</v>
      </c>
      <c r="BS23" s="257">
        <v>936.44</v>
      </c>
      <c r="BT23" s="257">
        <v>13892.41</v>
      </c>
      <c r="BU23" s="257">
        <v>0</v>
      </c>
      <c r="BV23" s="257">
        <v>0</v>
      </c>
      <c r="BW23" s="257">
        <v>0</v>
      </c>
      <c r="BX23" s="257">
        <v>0</v>
      </c>
      <c r="BY23" s="257">
        <v>0.2</v>
      </c>
      <c r="BZ23" s="257">
        <v>0.01</v>
      </c>
      <c r="CA23" s="257">
        <v>0</v>
      </c>
      <c r="CB23" s="257">
        <v>9827.5</v>
      </c>
      <c r="CC23" s="257">
        <v>400</v>
      </c>
      <c r="CD23" s="257">
        <v>9033.38</v>
      </c>
      <c r="CE23" s="257">
        <v>5804.64</v>
      </c>
      <c r="CF23" s="257">
        <v>0</v>
      </c>
      <c r="CG23" s="257">
        <v>0</v>
      </c>
      <c r="CH23" s="257">
        <v>0</v>
      </c>
      <c r="CI23" s="257">
        <v>0</v>
      </c>
      <c r="CJ23" s="257">
        <v>0.01</v>
      </c>
      <c r="CK23" s="257">
        <v>1213.6</v>
      </c>
      <c r="CL23" s="257">
        <v>0</v>
      </c>
      <c r="CM23" s="257">
        <v>0</v>
      </c>
      <c r="CN23" s="257">
        <v>0</v>
      </c>
      <c r="CO23" s="257">
        <v>0</v>
      </c>
      <c r="CP23" s="257">
        <v>0</v>
      </c>
      <c r="CQ23" s="257">
        <v>324.77</v>
      </c>
      <c r="CR23" s="257">
        <v>0</v>
      </c>
      <c r="CS23" s="257">
        <v>0</v>
      </c>
      <c r="CT23" s="257">
        <v>0</v>
      </c>
      <c r="CU23" s="257">
        <v>0.01</v>
      </c>
      <c r="CV23" s="257">
        <v>0</v>
      </c>
      <c r="CW23" s="257">
        <v>0</v>
      </c>
      <c r="CX23" s="257">
        <v>0.16</v>
      </c>
      <c r="CY23" s="257">
        <v>0</v>
      </c>
      <c r="CZ23" s="257">
        <v>0.02</v>
      </c>
      <c r="DA23" s="257">
        <v>0.01</v>
      </c>
      <c r="DB23" s="257">
        <v>0</v>
      </c>
      <c r="DC23" s="257">
        <v>0</v>
      </c>
      <c r="DD23" s="257">
        <v>0</v>
      </c>
      <c r="DE23" s="257">
        <v>0.01</v>
      </c>
      <c r="DF23" s="257">
        <v>0</v>
      </c>
      <c r="DG23" s="257">
        <v>0</v>
      </c>
      <c r="DH23" s="257">
        <v>150000</v>
      </c>
      <c r="DJ23" s="257">
        <v>0</v>
      </c>
      <c r="DK23" s="257">
        <v>0</v>
      </c>
      <c r="DL23" s="257">
        <v>0</v>
      </c>
      <c r="DM23" s="257">
        <v>0</v>
      </c>
      <c r="DN23" s="257">
        <v>0</v>
      </c>
      <c r="DO23" s="257">
        <v>0</v>
      </c>
    </row>
    <row r="24" s="257" customFormat="1" spans="1:119">
      <c r="A24" s="263" t="s">
        <v>257</v>
      </c>
      <c r="B24" s="266">
        <v>9281343.47</v>
      </c>
      <c r="C24" s="267">
        <v>9281343.47</v>
      </c>
      <c r="D24" s="267"/>
      <c r="E24" s="267"/>
      <c r="F24" s="267"/>
      <c r="G24" s="267"/>
      <c r="H24" s="268"/>
      <c r="I24" s="267">
        <v>8762229.3</v>
      </c>
      <c r="J24" s="267">
        <v>0</v>
      </c>
      <c r="K24" s="267">
        <v>0</v>
      </c>
      <c r="L24" s="267">
        <v>25322.67</v>
      </c>
      <c r="M24" s="266">
        <v>0</v>
      </c>
      <c r="N24" s="267">
        <v>8337.5</v>
      </c>
      <c r="O24" s="267">
        <v>2181.34</v>
      </c>
      <c r="P24" s="267">
        <v>87189.12</v>
      </c>
      <c r="Q24" s="267">
        <v>0</v>
      </c>
      <c r="R24" s="267">
        <v>-793030.3</v>
      </c>
      <c r="S24" s="267">
        <v>0</v>
      </c>
      <c r="T24" s="267">
        <v>1189113.84</v>
      </c>
      <c r="U24" s="267">
        <v>2822.67</v>
      </c>
      <c r="V24" s="267">
        <v>7500</v>
      </c>
      <c r="W24" s="267">
        <v>7500</v>
      </c>
      <c r="X24" s="267">
        <v>0</v>
      </c>
      <c r="Y24" s="267">
        <v>0</v>
      </c>
      <c r="Z24" s="267">
        <v>0</v>
      </c>
      <c r="AA24" s="267">
        <v>7500</v>
      </c>
      <c r="AB24" s="267">
        <v>0</v>
      </c>
      <c r="AC24" s="267">
        <v>0</v>
      </c>
      <c r="AD24" s="267">
        <v>0</v>
      </c>
      <c r="AE24" s="267">
        <v>0</v>
      </c>
      <c r="AF24" s="267">
        <v>0</v>
      </c>
      <c r="AG24" s="267">
        <v>0</v>
      </c>
      <c r="AH24" s="267">
        <v>0</v>
      </c>
      <c r="AI24" s="267">
        <v>0</v>
      </c>
      <c r="AJ24" s="267">
        <v>837.5</v>
      </c>
      <c r="AK24" s="267">
        <v>0</v>
      </c>
      <c r="AL24" s="267">
        <v>0</v>
      </c>
      <c r="AM24" s="267">
        <v>7500</v>
      </c>
      <c r="AN24" s="267">
        <v>87189.12</v>
      </c>
      <c r="AO24" s="257">
        <v>0</v>
      </c>
      <c r="AP24" s="257">
        <v>0</v>
      </c>
      <c r="AQ24" s="257">
        <v>0</v>
      </c>
      <c r="AR24" s="257">
        <v>0</v>
      </c>
      <c r="AS24" s="257">
        <v>0</v>
      </c>
      <c r="AT24" s="257">
        <v>1189113.84</v>
      </c>
      <c r="AU24" s="257">
        <v>145872.7</v>
      </c>
      <c r="AV24" s="257">
        <v>96270.58</v>
      </c>
      <c r="AW24" s="257">
        <v>10069.4</v>
      </c>
      <c r="AX24" s="257">
        <v>13284.92</v>
      </c>
      <c r="AY24" s="257">
        <v>77733.66</v>
      </c>
      <c r="AZ24" s="257">
        <v>34490.37</v>
      </c>
      <c r="BA24" s="257">
        <v>8490.75</v>
      </c>
      <c r="BB24" s="257">
        <v>77705.06</v>
      </c>
      <c r="BC24" s="257">
        <v>82357.43</v>
      </c>
      <c r="BD24" s="257">
        <v>74805.63</v>
      </c>
      <c r="BE24" s="257">
        <v>78133.43</v>
      </c>
      <c r="BF24" s="257">
        <v>30745.35</v>
      </c>
      <c r="BG24" s="257">
        <v>77809.98</v>
      </c>
      <c r="BH24" s="257">
        <v>8850</v>
      </c>
      <c r="BI24" s="257">
        <v>8714.66</v>
      </c>
      <c r="BJ24" s="257">
        <v>14892.5</v>
      </c>
      <c r="BK24" s="257">
        <v>65713.55</v>
      </c>
      <c r="BL24" s="257">
        <v>83539.89</v>
      </c>
      <c r="BM24" s="257">
        <v>0</v>
      </c>
      <c r="BN24" s="257">
        <v>45677.29</v>
      </c>
      <c r="BO24" s="257">
        <v>37351.97</v>
      </c>
      <c r="BP24" s="257">
        <v>50734.04</v>
      </c>
      <c r="BQ24" s="257">
        <v>882.7</v>
      </c>
      <c r="BR24" s="257">
        <v>6903.9</v>
      </c>
      <c r="BS24" s="257">
        <v>1049.44</v>
      </c>
      <c r="BT24" s="257">
        <v>15520.41</v>
      </c>
      <c r="BU24" s="257">
        <v>0</v>
      </c>
      <c r="BV24" s="257">
        <v>0</v>
      </c>
      <c r="BW24" s="257">
        <v>488</v>
      </c>
      <c r="BX24" s="257">
        <v>87</v>
      </c>
      <c r="BY24" s="257">
        <v>195</v>
      </c>
      <c r="BZ24" s="257">
        <v>0</v>
      </c>
      <c r="CA24" s="257">
        <v>940</v>
      </c>
      <c r="CB24" s="257">
        <v>9284</v>
      </c>
      <c r="CC24" s="257">
        <v>836.5</v>
      </c>
      <c r="CD24" s="257">
        <v>9123.75</v>
      </c>
      <c r="CE24" s="257">
        <v>5804.29</v>
      </c>
      <c r="CF24" s="257">
        <v>168.22</v>
      </c>
      <c r="CG24" s="257">
        <v>0</v>
      </c>
      <c r="CH24" s="257">
        <v>0</v>
      </c>
      <c r="CI24" s="257">
        <v>11027.21</v>
      </c>
      <c r="CJ24" s="257">
        <v>0</v>
      </c>
      <c r="CK24" s="257">
        <v>1213.6</v>
      </c>
      <c r="CL24" s="257">
        <v>0</v>
      </c>
      <c r="CM24" s="257">
        <v>0</v>
      </c>
      <c r="CN24" s="257">
        <v>0</v>
      </c>
      <c r="CO24" s="257">
        <v>0</v>
      </c>
      <c r="CP24" s="257">
        <v>0</v>
      </c>
      <c r="CQ24" s="257">
        <v>333.08</v>
      </c>
      <c r="CR24" s="257">
        <v>0</v>
      </c>
      <c r="CS24" s="257">
        <v>2000</v>
      </c>
      <c r="CT24" s="257">
        <v>0</v>
      </c>
      <c r="CU24" s="257">
        <v>0</v>
      </c>
      <c r="CV24" s="257">
        <v>0</v>
      </c>
      <c r="CW24" s="257">
        <v>0</v>
      </c>
      <c r="CX24" s="257">
        <v>0</v>
      </c>
      <c r="CY24" s="257">
        <v>0</v>
      </c>
      <c r="CZ24" s="257">
        <v>13.58</v>
      </c>
      <c r="DA24" s="257">
        <v>0</v>
      </c>
      <c r="DB24" s="257">
        <v>0</v>
      </c>
      <c r="DC24" s="257">
        <v>0</v>
      </c>
      <c r="DD24" s="257">
        <v>0</v>
      </c>
      <c r="DE24" s="257">
        <v>0</v>
      </c>
      <c r="DF24" s="257">
        <v>0</v>
      </c>
      <c r="DG24" s="257">
        <v>0</v>
      </c>
      <c r="DH24" s="257">
        <v>0</v>
      </c>
      <c r="DJ24" s="257">
        <v>0</v>
      </c>
      <c r="DK24" s="257">
        <v>0</v>
      </c>
      <c r="DL24" s="257">
        <v>0</v>
      </c>
      <c r="DM24" s="257">
        <v>0</v>
      </c>
      <c r="DN24" s="257">
        <v>0</v>
      </c>
      <c r="DO24" s="257">
        <v>0</v>
      </c>
    </row>
    <row r="25" s="257" customFormat="1" spans="1:119">
      <c r="A25" s="265" t="s">
        <v>258</v>
      </c>
      <c r="B25" s="266">
        <v>493336292.19</v>
      </c>
      <c r="C25" s="266">
        <v>493336292.19</v>
      </c>
      <c r="D25" s="266"/>
      <c r="E25" s="266"/>
      <c r="F25" s="266"/>
      <c r="G25" s="266"/>
      <c r="H25" s="266"/>
      <c r="I25" s="266">
        <v>-432303162.94</v>
      </c>
      <c r="J25" s="266">
        <v>4429060.87</v>
      </c>
      <c r="K25" s="266">
        <v>0</v>
      </c>
      <c r="L25" s="266">
        <v>232256253.98</v>
      </c>
      <c r="M25" s="266">
        <v>146932417.62</v>
      </c>
      <c r="N25" s="266">
        <v>-32581046.7</v>
      </c>
      <c r="O25" s="266">
        <v>-16102009.23</v>
      </c>
      <c r="P25" s="266">
        <v>-5779203.94</v>
      </c>
      <c r="Q25" s="266">
        <v>-2916260.29</v>
      </c>
      <c r="R25" s="266">
        <v>0.11</v>
      </c>
      <c r="S25" s="266">
        <v>-8377787.94</v>
      </c>
      <c r="T25" s="266">
        <v>607778030.65</v>
      </c>
      <c r="U25" s="266">
        <v>-10528923.47</v>
      </c>
      <c r="V25" s="266">
        <v>67263165.12</v>
      </c>
      <c r="W25" s="266">
        <v>37803210.49</v>
      </c>
      <c r="X25" s="266">
        <v>59466661.61</v>
      </c>
      <c r="Y25" s="266">
        <v>2464881.45</v>
      </c>
      <c r="Z25" s="266">
        <v>73134470.87</v>
      </c>
      <c r="AA25" s="266">
        <v>2652787.91</v>
      </c>
      <c r="AB25" s="266">
        <v>-5565923.31</v>
      </c>
      <c r="AC25" s="266">
        <v>139726592.27</v>
      </c>
      <c r="AD25" s="266">
        <v>3294403.36</v>
      </c>
      <c r="AE25" s="266">
        <v>11867611.99</v>
      </c>
      <c r="AF25" s="266">
        <v>622051.69</v>
      </c>
      <c r="AG25" s="266">
        <v>-2386651.68</v>
      </c>
      <c r="AH25" s="266">
        <v>-625666.7</v>
      </c>
      <c r="AI25" s="266">
        <v>0</v>
      </c>
      <c r="AJ25" s="266">
        <v>-1708540.72</v>
      </c>
      <c r="AK25" s="266">
        <v>6293650.06</v>
      </c>
      <c r="AL25" s="266">
        <v>-52252567.69</v>
      </c>
      <c r="AM25" s="266">
        <v>15086411.65</v>
      </c>
      <c r="AN25" s="266">
        <v>-4551721.85</v>
      </c>
      <c r="AO25" s="266">
        <v>-1227482.09</v>
      </c>
      <c r="AP25" s="266">
        <v>-61580587.11</v>
      </c>
      <c r="AQ25" s="266">
        <v>-6019917.48</v>
      </c>
      <c r="AR25" s="266">
        <v>382591422.91</v>
      </c>
      <c r="AS25" s="266">
        <v>-5373565.12</v>
      </c>
      <c r="AT25" s="266">
        <v>298160677.45</v>
      </c>
      <c r="AU25" s="266">
        <v>13437625.41</v>
      </c>
      <c r="AV25" s="266">
        <v>15230209.12</v>
      </c>
      <c r="AW25" s="266">
        <v>12251956.28</v>
      </c>
      <c r="AX25" s="266">
        <v>8348522.24</v>
      </c>
      <c r="AY25" s="266">
        <v>17164974.49</v>
      </c>
      <c r="AZ25" s="266">
        <v>13991869.48</v>
      </c>
      <c r="BA25" s="266">
        <v>3816470.06</v>
      </c>
      <c r="BB25" s="266">
        <v>17926009.05</v>
      </c>
      <c r="BC25" s="266">
        <v>5200193.4</v>
      </c>
      <c r="BD25" s="266">
        <v>3036354.91</v>
      </c>
      <c r="BE25" s="266">
        <v>11055451.44</v>
      </c>
      <c r="BF25" s="266">
        <v>71891982.56</v>
      </c>
      <c r="BG25" s="266">
        <v>2009217.53</v>
      </c>
      <c r="BH25" s="266">
        <v>3205590.77</v>
      </c>
      <c r="BI25" s="266">
        <v>3675139.12</v>
      </c>
      <c r="BJ25" s="266">
        <v>3364478.49</v>
      </c>
      <c r="BK25" s="266">
        <v>2848072.67</v>
      </c>
      <c r="BL25" s="266">
        <v>2806313.24</v>
      </c>
      <c r="BM25" s="266">
        <v>4137874.6</v>
      </c>
      <c r="BN25" s="266">
        <v>1224267.91</v>
      </c>
      <c r="BO25" s="266">
        <v>2420312.15</v>
      </c>
      <c r="BP25" s="266">
        <v>3845196.8</v>
      </c>
      <c r="BQ25" s="266">
        <v>610632.52</v>
      </c>
      <c r="BR25" s="266">
        <v>1517748.15</v>
      </c>
      <c r="BS25" s="266">
        <v>62823.23</v>
      </c>
      <c r="BT25" s="266">
        <v>571731.85</v>
      </c>
      <c r="BU25" s="266">
        <v>-327936.23</v>
      </c>
      <c r="BV25" s="266">
        <v>723643.49</v>
      </c>
      <c r="BW25" s="266">
        <v>-69706.03</v>
      </c>
      <c r="BX25" s="266">
        <v>-4777671.13</v>
      </c>
      <c r="BY25" s="266">
        <v>-265476.72</v>
      </c>
      <c r="BZ25" s="266">
        <v>-343366.47</v>
      </c>
      <c r="CA25" s="266">
        <v>-92475.96</v>
      </c>
      <c r="CB25" s="266">
        <v>-26690.75</v>
      </c>
      <c r="CC25" s="266">
        <v>773673.34</v>
      </c>
      <c r="CD25" s="266">
        <v>-2145767.14</v>
      </c>
      <c r="CE25" s="266">
        <v>102444160.62</v>
      </c>
      <c r="CF25" s="266">
        <v>-708534.62</v>
      </c>
      <c r="CG25" s="266">
        <v>-822042.58</v>
      </c>
      <c r="CH25" s="266">
        <v>-942139.14</v>
      </c>
      <c r="CI25" s="266">
        <v>-796434.33</v>
      </c>
      <c r="CJ25" s="266">
        <v>-304750.12</v>
      </c>
      <c r="CK25" s="266">
        <v>-1481992.23</v>
      </c>
      <c r="CL25" s="266">
        <v>-904307.37</v>
      </c>
      <c r="CM25" s="266">
        <v>-1197009.68</v>
      </c>
      <c r="CN25" s="266">
        <v>-999466.31</v>
      </c>
      <c r="CO25" s="266">
        <v>-1013854.54</v>
      </c>
      <c r="CP25" s="266">
        <v>-1025637.85</v>
      </c>
      <c r="CQ25" s="266">
        <v>-1052649.29</v>
      </c>
      <c r="CR25" s="266">
        <v>-792384.06</v>
      </c>
      <c r="CS25" s="266">
        <v>-847430.07</v>
      </c>
      <c r="CT25" s="266">
        <v>-199846.72</v>
      </c>
      <c r="CU25" s="266">
        <v>-613746.42</v>
      </c>
      <c r="CV25" s="266">
        <v>-678836.64</v>
      </c>
      <c r="CW25" s="266">
        <v>-739998.05</v>
      </c>
      <c r="CX25" s="266">
        <v>-918876.47</v>
      </c>
      <c r="CY25" s="266">
        <v>-1182293.91</v>
      </c>
      <c r="CZ25" s="266">
        <v>-882325.07</v>
      </c>
      <c r="DA25" s="266">
        <v>-987877.43</v>
      </c>
      <c r="DB25" s="266">
        <v>-1070981.24</v>
      </c>
      <c r="DC25" s="266">
        <v>-365017.56</v>
      </c>
      <c r="DD25" s="266">
        <v>-356830.65</v>
      </c>
      <c r="DE25" s="266">
        <v>-1476141.8</v>
      </c>
      <c r="DF25" s="266">
        <v>-631977.51</v>
      </c>
      <c r="DG25" s="266">
        <v>-82321.18</v>
      </c>
      <c r="DH25" s="266">
        <v>-307024.2</v>
      </c>
      <c r="DI25" s="266"/>
      <c r="DJ25" s="257">
        <v>0</v>
      </c>
      <c r="DK25" s="257">
        <v>0</v>
      </c>
      <c r="DL25" s="257">
        <v>0</v>
      </c>
      <c r="DM25" s="257">
        <v>0</v>
      </c>
      <c r="DN25" s="257">
        <v>0</v>
      </c>
      <c r="DO25" s="257">
        <v>0</v>
      </c>
    </row>
    <row r="26" s="257" customFormat="1" spans="1:119">
      <c r="A26" s="263" t="s">
        <v>259</v>
      </c>
      <c r="B26" s="266">
        <v>106959580.57</v>
      </c>
      <c r="C26" s="267">
        <v>106959580.57</v>
      </c>
      <c r="D26" s="267"/>
      <c r="E26" s="267"/>
      <c r="F26" s="267"/>
      <c r="G26" s="267"/>
      <c r="H26" s="268"/>
      <c r="I26" s="267">
        <v>106958786.67</v>
      </c>
      <c r="J26" s="267">
        <v>0</v>
      </c>
      <c r="K26" s="267">
        <v>0</v>
      </c>
      <c r="L26" s="267">
        <v>0</v>
      </c>
      <c r="M26" s="266">
        <v>0</v>
      </c>
      <c r="N26" s="267">
        <v>0</v>
      </c>
      <c r="O26" s="267">
        <v>0</v>
      </c>
      <c r="P26" s="267">
        <v>0</v>
      </c>
      <c r="Q26" s="267">
        <v>0</v>
      </c>
      <c r="R26" s="267">
        <v>0</v>
      </c>
      <c r="S26" s="267">
        <v>0</v>
      </c>
      <c r="T26" s="267">
        <v>793.9</v>
      </c>
      <c r="U26" s="267">
        <v>0</v>
      </c>
      <c r="V26" s="267">
        <v>0</v>
      </c>
      <c r="W26" s="267">
        <v>0</v>
      </c>
      <c r="X26" s="267">
        <v>0</v>
      </c>
      <c r="Y26" s="267">
        <v>0</v>
      </c>
      <c r="Z26" s="267">
        <v>0</v>
      </c>
      <c r="AA26" s="267">
        <v>0</v>
      </c>
      <c r="AB26" s="267">
        <v>0</v>
      </c>
      <c r="AC26" s="267">
        <v>0</v>
      </c>
      <c r="AD26" s="267">
        <v>0</v>
      </c>
      <c r="AE26" s="267">
        <v>0</v>
      </c>
      <c r="AF26" s="267">
        <v>0</v>
      </c>
      <c r="AG26" s="267">
        <v>0</v>
      </c>
      <c r="AH26" s="267">
        <v>0</v>
      </c>
      <c r="AI26" s="267">
        <v>0</v>
      </c>
      <c r="AJ26" s="267">
        <v>0</v>
      </c>
      <c r="AK26" s="267">
        <v>0</v>
      </c>
      <c r="AL26" s="267">
        <v>0</v>
      </c>
      <c r="AM26" s="267">
        <v>0</v>
      </c>
      <c r="AN26" s="267">
        <v>0</v>
      </c>
      <c r="AO26" s="257">
        <v>0</v>
      </c>
      <c r="AP26" s="257">
        <v>0</v>
      </c>
      <c r="AQ26" s="257">
        <v>0</v>
      </c>
      <c r="AR26" s="257">
        <v>0</v>
      </c>
      <c r="AS26" s="257">
        <v>0</v>
      </c>
      <c r="AT26" s="257">
        <v>793.9</v>
      </c>
      <c r="AU26" s="257">
        <v>0</v>
      </c>
      <c r="AV26" s="257">
        <v>0</v>
      </c>
      <c r="AW26" s="257">
        <v>0</v>
      </c>
      <c r="AX26" s="257">
        <v>0</v>
      </c>
      <c r="AY26" s="257">
        <v>0</v>
      </c>
      <c r="AZ26" s="257">
        <v>0</v>
      </c>
      <c r="BA26" s="257">
        <v>0</v>
      </c>
      <c r="BB26" s="257">
        <v>0</v>
      </c>
      <c r="BC26" s="257">
        <v>0</v>
      </c>
      <c r="BD26" s="257">
        <v>0</v>
      </c>
      <c r="BE26" s="257">
        <v>793.9</v>
      </c>
      <c r="BF26" s="257">
        <v>0</v>
      </c>
      <c r="BG26" s="257">
        <v>0</v>
      </c>
      <c r="BH26" s="257">
        <v>0</v>
      </c>
      <c r="BI26" s="257">
        <v>0</v>
      </c>
      <c r="BJ26" s="257">
        <v>0</v>
      </c>
      <c r="BK26" s="257">
        <v>0</v>
      </c>
      <c r="BL26" s="257">
        <v>0</v>
      </c>
      <c r="BM26" s="257">
        <v>0</v>
      </c>
      <c r="BN26" s="257">
        <v>0</v>
      </c>
      <c r="BO26" s="257">
        <v>0</v>
      </c>
      <c r="BP26" s="257">
        <v>0</v>
      </c>
      <c r="BQ26" s="257">
        <v>0</v>
      </c>
      <c r="BR26" s="257">
        <v>0</v>
      </c>
      <c r="BS26" s="257">
        <v>0</v>
      </c>
      <c r="BT26" s="257">
        <v>0</v>
      </c>
      <c r="BU26" s="257">
        <v>0</v>
      </c>
      <c r="BV26" s="257">
        <v>0</v>
      </c>
      <c r="BW26" s="257">
        <v>0</v>
      </c>
      <c r="BX26" s="257">
        <v>0</v>
      </c>
      <c r="BY26" s="257">
        <v>0</v>
      </c>
      <c r="BZ26" s="257">
        <v>0</v>
      </c>
      <c r="CA26" s="257">
        <v>0</v>
      </c>
      <c r="CB26" s="257">
        <v>0</v>
      </c>
      <c r="CC26" s="257">
        <v>0</v>
      </c>
      <c r="CD26" s="257">
        <v>0</v>
      </c>
      <c r="CE26" s="257">
        <v>0</v>
      </c>
      <c r="CF26" s="257">
        <v>0</v>
      </c>
      <c r="CG26" s="257">
        <v>0</v>
      </c>
      <c r="CH26" s="257">
        <v>0</v>
      </c>
      <c r="CI26" s="257">
        <v>0</v>
      </c>
      <c r="CJ26" s="257">
        <v>0</v>
      </c>
      <c r="CK26" s="257">
        <v>0</v>
      </c>
      <c r="CL26" s="257">
        <v>0</v>
      </c>
      <c r="CM26" s="257">
        <v>0</v>
      </c>
      <c r="CN26" s="257">
        <v>0</v>
      </c>
      <c r="CO26" s="257">
        <v>0</v>
      </c>
      <c r="CP26" s="257">
        <v>0</v>
      </c>
      <c r="CQ26" s="257">
        <v>0</v>
      </c>
      <c r="CR26" s="257">
        <v>0</v>
      </c>
      <c r="CS26" s="257">
        <v>0</v>
      </c>
      <c r="CT26" s="257">
        <v>0</v>
      </c>
      <c r="CU26" s="257">
        <v>0</v>
      </c>
      <c r="CV26" s="257">
        <v>0</v>
      </c>
      <c r="CW26" s="257">
        <v>0</v>
      </c>
      <c r="CX26" s="257">
        <v>0</v>
      </c>
      <c r="CY26" s="257">
        <v>0</v>
      </c>
      <c r="CZ26" s="257">
        <v>0</v>
      </c>
      <c r="DA26" s="257">
        <v>0</v>
      </c>
      <c r="DB26" s="257">
        <v>0</v>
      </c>
      <c r="DC26" s="257">
        <v>0</v>
      </c>
      <c r="DD26" s="257">
        <v>0</v>
      </c>
      <c r="DE26" s="257">
        <v>0</v>
      </c>
      <c r="DF26" s="257">
        <v>0</v>
      </c>
      <c r="DG26" s="257">
        <v>0</v>
      </c>
      <c r="DH26" s="257">
        <v>0</v>
      </c>
      <c r="DJ26" s="257">
        <v>0</v>
      </c>
      <c r="DK26" s="257">
        <v>0</v>
      </c>
      <c r="DL26" s="257">
        <v>0</v>
      </c>
      <c r="DM26" s="257">
        <v>0</v>
      </c>
      <c r="DN26" s="257">
        <v>0</v>
      </c>
      <c r="DO26" s="257">
        <v>0</v>
      </c>
    </row>
    <row r="27" s="257" customFormat="1" spans="1:119">
      <c r="A27" s="265" t="s">
        <v>52</v>
      </c>
      <c r="B27" s="266">
        <v>386376711.62</v>
      </c>
      <c r="C27" s="266">
        <v>386376711.62</v>
      </c>
      <c r="D27" s="266"/>
      <c r="E27" s="266"/>
      <c r="F27" s="266"/>
      <c r="G27" s="266"/>
      <c r="H27" s="266"/>
      <c r="I27" s="266">
        <v>-539261949.61</v>
      </c>
      <c r="J27" s="266">
        <v>4429060.87</v>
      </c>
      <c r="K27" s="266">
        <v>0</v>
      </c>
      <c r="L27" s="266">
        <v>232256253.98</v>
      </c>
      <c r="M27" s="266">
        <v>146932417.62</v>
      </c>
      <c r="N27" s="266">
        <v>-32581046.7</v>
      </c>
      <c r="O27" s="266">
        <v>-16102009.23</v>
      </c>
      <c r="P27" s="266">
        <v>-5779203.94</v>
      </c>
      <c r="Q27" s="266">
        <v>-2916260.29</v>
      </c>
      <c r="R27" s="266">
        <v>0.11</v>
      </c>
      <c r="S27" s="266">
        <v>-8377787.94</v>
      </c>
      <c r="T27" s="266">
        <v>607777236.75</v>
      </c>
      <c r="U27" s="266">
        <v>-10528923.47</v>
      </c>
      <c r="V27" s="266">
        <v>67263165.12</v>
      </c>
      <c r="W27" s="266">
        <v>37803210.49</v>
      </c>
      <c r="X27" s="266">
        <v>59466661.61</v>
      </c>
      <c r="Y27" s="266">
        <v>2464881.45</v>
      </c>
      <c r="Z27" s="266">
        <v>73134470.87</v>
      </c>
      <c r="AA27" s="266">
        <v>2652787.91</v>
      </c>
      <c r="AB27" s="266">
        <v>-5565923.31</v>
      </c>
      <c r="AC27" s="266">
        <v>139726592.27</v>
      </c>
      <c r="AD27" s="266">
        <v>3294403.36</v>
      </c>
      <c r="AE27" s="266">
        <v>11867611.99</v>
      </c>
      <c r="AF27" s="266">
        <v>622051.69</v>
      </c>
      <c r="AG27" s="266">
        <v>-2386651.68</v>
      </c>
      <c r="AH27" s="266">
        <v>-625666.7</v>
      </c>
      <c r="AI27" s="266">
        <v>0</v>
      </c>
      <c r="AJ27" s="266">
        <v>-1708540.72</v>
      </c>
      <c r="AK27" s="266">
        <v>6293650.06</v>
      </c>
      <c r="AL27" s="266">
        <v>-52252567.69</v>
      </c>
      <c r="AM27" s="266">
        <v>15086411.65</v>
      </c>
      <c r="AN27" s="266">
        <v>-4551721.85</v>
      </c>
      <c r="AO27" s="266">
        <v>-1227482.09</v>
      </c>
      <c r="AP27" s="266">
        <v>-61580587.11</v>
      </c>
      <c r="AQ27" s="266">
        <v>-6019917.48</v>
      </c>
      <c r="AR27" s="266">
        <v>382591422.91</v>
      </c>
      <c r="AS27" s="266">
        <v>-5373565.12</v>
      </c>
      <c r="AT27" s="266">
        <v>298159883.55</v>
      </c>
      <c r="AU27" s="266">
        <v>13437625.41</v>
      </c>
      <c r="AV27" s="266">
        <v>15230209.12</v>
      </c>
      <c r="AW27" s="266">
        <v>12251956.28</v>
      </c>
      <c r="AX27" s="266">
        <v>8348522.24</v>
      </c>
      <c r="AY27" s="266">
        <v>17164974.49</v>
      </c>
      <c r="AZ27" s="266">
        <v>13991869.48</v>
      </c>
      <c r="BA27" s="266">
        <v>3816470.06</v>
      </c>
      <c r="BB27" s="266">
        <v>17926009.05</v>
      </c>
      <c r="BC27" s="266">
        <v>5200193.4</v>
      </c>
      <c r="BD27" s="266">
        <v>3036354.91</v>
      </c>
      <c r="BE27" s="266">
        <v>11054657.54</v>
      </c>
      <c r="BF27" s="266">
        <v>71891982.56</v>
      </c>
      <c r="BG27" s="266">
        <v>2009217.53</v>
      </c>
      <c r="BH27" s="266">
        <v>3205590.77</v>
      </c>
      <c r="BI27" s="266">
        <v>3675139.12</v>
      </c>
      <c r="BJ27" s="266">
        <v>3364478.49</v>
      </c>
      <c r="BK27" s="266">
        <v>2848072.67</v>
      </c>
      <c r="BL27" s="266">
        <v>2806313.24</v>
      </c>
      <c r="BM27" s="266">
        <v>4137874.6</v>
      </c>
      <c r="BN27" s="266">
        <v>1224267.91</v>
      </c>
      <c r="BO27" s="266">
        <v>2420312.15</v>
      </c>
      <c r="BP27" s="266">
        <v>3845196.8</v>
      </c>
      <c r="BQ27" s="266">
        <v>610632.52</v>
      </c>
      <c r="BR27" s="266">
        <v>1517748.15</v>
      </c>
      <c r="BS27" s="266">
        <v>62823.23</v>
      </c>
      <c r="BT27" s="266">
        <v>571731.85</v>
      </c>
      <c r="BU27" s="266">
        <v>-327936.23</v>
      </c>
      <c r="BV27" s="266">
        <v>723643.49</v>
      </c>
      <c r="BW27" s="266">
        <v>-69706.03</v>
      </c>
      <c r="BX27" s="266">
        <v>-4777671.13</v>
      </c>
      <c r="BY27" s="266">
        <v>-265476.72</v>
      </c>
      <c r="BZ27" s="266">
        <v>-343366.47</v>
      </c>
      <c r="CA27" s="266">
        <v>-92475.96</v>
      </c>
      <c r="CB27" s="266">
        <v>-26690.75</v>
      </c>
      <c r="CC27" s="266">
        <v>773673.34</v>
      </c>
      <c r="CD27" s="266">
        <v>-2145767.14</v>
      </c>
      <c r="CE27" s="266">
        <v>102444160.62</v>
      </c>
      <c r="CF27" s="266">
        <v>-708534.62</v>
      </c>
      <c r="CG27" s="266">
        <v>-822042.58</v>
      </c>
      <c r="CH27" s="266">
        <v>-942139.14</v>
      </c>
      <c r="CI27" s="266">
        <v>-796434.33</v>
      </c>
      <c r="CJ27" s="266">
        <v>-304750.12</v>
      </c>
      <c r="CK27" s="266">
        <v>-1481992.23</v>
      </c>
      <c r="CL27" s="266">
        <v>-904307.37</v>
      </c>
      <c r="CM27" s="266">
        <v>-1197009.68</v>
      </c>
      <c r="CN27" s="266">
        <v>-999466.31</v>
      </c>
      <c r="CO27" s="266">
        <v>-1013854.54</v>
      </c>
      <c r="CP27" s="266">
        <v>-1025637.85</v>
      </c>
      <c r="CQ27" s="266">
        <v>-1052649.29</v>
      </c>
      <c r="CR27" s="266">
        <v>-792384.06</v>
      </c>
      <c r="CS27" s="266">
        <v>-847430.07</v>
      </c>
      <c r="CT27" s="266">
        <v>-199846.72</v>
      </c>
      <c r="CU27" s="266">
        <v>-613746.42</v>
      </c>
      <c r="CV27" s="266">
        <v>-678836.64</v>
      </c>
      <c r="CW27" s="266">
        <v>-739998.05</v>
      </c>
      <c r="CX27" s="266">
        <v>-918876.47</v>
      </c>
      <c r="CY27" s="266">
        <v>-1182293.91</v>
      </c>
      <c r="CZ27" s="266">
        <v>-882325.07</v>
      </c>
      <c r="DA27" s="266">
        <v>-987877.43</v>
      </c>
      <c r="DB27" s="266">
        <v>-1070981.24</v>
      </c>
      <c r="DC27" s="266">
        <v>-365017.56</v>
      </c>
      <c r="DD27" s="266">
        <v>-356830.65</v>
      </c>
      <c r="DE27" s="266">
        <v>-1476141.8</v>
      </c>
      <c r="DF27" s="266">
        <v>-631977.51</v>
      </c>
      <c r="DG27" s="266">
        <v>-82321.18</v>
      </c>
      <c r="DH27" s="266">
        <v>-307024.2</v>
      </c>
      <c r="DI27" s="266"/>
      <c r="DJ27" s="257">
        <v>0</v>
      </c>
      <c r="DK27" s="257">
        <v>0</v>
      </c>
      <c r="DL27" s="257">
        <v>0</v>
      </c>
      <c r="DM27" s="257">
        <v>0</v>
      </c>
      <c r="DN27" s="257">
        <v>0</v>
      </c>
      <c r="DO27" s="257">
        <v>0</v>
      </c>
    </row>
    <row r="28" s="257" customFormat="1" spans="1:119">
      <c r="A28" s="265" t="s">
        <v>260</v>
      </c>
      <c r="B28" s="266">
        <v>386376711.62</v>
      </c>
      <c r="C28" s="266">
        <v>386376711.62</v>
      </c>
      <c r="D28" s="266"/>
      <c r="E28" s="266"/>
      <c r="F28" s="266"/>
      <c r="G28" s="266"/>
      <c r="H28" s="266"/>
      <c r="I28" s="266">
        <v>-539261949.61</v>
      </c>
      <c r="J28" s="266">
        <v>4429060.87</v>
      </c>
      <c r="K28" s="266">
        <v>0</v>
      </c>
      <c r="L28" s="266">
        <v>232256253.98</v>
      </c>
      <c r="M28" s="266">
        <v>146932417.62</v>
      </c>
      <c r="N28" s="266">
        <v>-32581046.7</v>
      </c>
      <c r="O28" s="266">
        <v>-16102009.23</v>
      </c>
      <c r="P28" s="266">
        <v>-5779203.94</v>
      </c>
      <c r="Q28" s="266">
        <v>-2916260.29</v>
      </c>
      <c r="R28" s="266">
        <v>0.11</v>
      </c>
      <c r="S28" s="266">
        <v>-8377787.94</v>
      </c>
      <c r="T28" s="266">
        <v>607777236.75</v>
      </c>
      <c r="U28" s="266">
        <v>-10528923.47</v>
      </c>
      <c r="V28" s="266">
        <v>67263165.12</v>
      </c>
      <c r="W28" s="266">
        <v>37803210.49</v>
      </c>
      <c r="X28" s="266">
        <v>59466661.61</v>
      </c>
      <c r="Y28" s="266">
        <v>2464881.45</v>
      </c>
      <c r="Z28" s="266">
        <v>73134470.87</v>
      </c>
      <c r="AA28" s="266">
        <v>2652787.91</v>
      </c>
      <c r="AB28" s="266">
        <v>-5565923.31</v>
      </c>
      <c r="AC28" s="266">
        <v>139726592.27</v>
      </c>
      <c r="AD28" s="266">
        <v>3294403.36</v>
      </c>
      <c r="AE28" s="266">
        <v>11867611.99</v>
      </c>
      <c r="AF28" s="266">
        <v>622051.69</v>
      </c>
      <c r="AG28" s="266">
        <v>-2386651.68</v>
      </c>
      <c r="AH28" s="266">
        <v>-625666.7</v>
      </c>
      <c r="AI28" s="266">
        <v>0</v>
      </c>
      <c r="AJ28" s="266">
        <v>-1708540.72</v>
      </c>
      <c r="AK28" s="266">
        <v>6293650.06</v>
      </c>
      <c r="AL28" s="266">
        <v>-52252567.69</v>
      </c>
      <c r="AM28" s="266">
        <v>15086411.65</v>
      </c>
      <c r="AN28" s="266">
        <v>-4551721.85</v>
      </c>
      <c r="AO28" s="266">
        <v>-1227482.09</v>
      </c>
      <c r="AP28" s="266">
        <v>-61580587.11</v>
      </c>
      <c r="AQ28" s="266">
        <v>-6019917.48</v>
      </c>
      <c r="AR28" s="266">
        <v>382591422.91</v>
      </c>
      <c r="AS28" s="266">
        <v>-5373565.12</v>
      </c>
      <c r="AT28" s="266">
        <v>298159883.55</v>
      </c>
      <c r="AU28" s="266">
        <v>13437625.41</v>
      </c>
      <c r="AV28" s="266">
        <v>15230209.12</v>
      </c>
      <c r="AW28" s="266">
        <v>12251956.28</v>
      </c>
      <c r="AX28" s="266">
        <v>8348522.24</v>
      </c>
      <c r="AY28" s="266">
        <v>17164974.49</v>
      </c>
      <c r="AZ28" s="266">
        <v>13991869.48</v>
      </c>
      <c r="BA28" s="266">
        <v>3816470.06</v>
      </c>
      <c r="BB28" s="266">
        <v>17926009.05</v>
      </c>
      <c r="BC28" s="266">
        <v>5200193.4</v>
      </c>
      <c r="BD28" s="266">
        <v>3036354.91</v>
      </c>
      <c r="BE28" s="266">
        <v>11054657.54</v>
      </c>
      <c r="BF28" s="266">
        <v>71891982.56</v>
      </c>
      <c r="BG28" s="266">
        <v>2009217.53</v>
      </c>
      <c r="BH28" s="266">
        <v>3205590.77</v>
      </c>
      <c r="BI28" s="266">
        <v>3675139.12</v>
      </c>
      <c r="BJ28" s="266">
        <v>3364478.49</v>
      </c>
      <c r="BK28" s="266">
        <v>2848072.67</v>
      </c>
      <c r="BL28" s="266">
        <v>2806313.24</v>
      </c>
      <c r="BM28" s="266">
        <v>4137874.6</v>
      </c>
      <c r="BN28" s="266">
        <v>1224267.91</v>
      </c>
      <c r="BO28" s="266">
        <v>2420312.15</v>
      </c>
      <c r="BP28" s="266">
        <v>3845196.8</v>
      </c>
      <c r="BQ28" s="266">
        <v>610632.52</v>
      </c>
      <c r="BR28" s="266">
        <v>1517748.15</v>
      </c>
      <c r="BS28" s="266">
        <v>62823.23</v>
      </c>
      <c r="BT28" s="266">
        <v>571731.85</v>
      </c>
      <c r="BU28" s="266">
        <v>-327936.23</v>
      </c>
      <c r="BV28" s="266">
        <v>723643.49</v>
      </c>
      <c r="BW28" s="266">
        <v>-69706.03</v>
      </c>
      <c r="BX28" s="266">
        <v>-4777671.13</v>
      </c>
      <c r="BY28" s="266">
        <v>-265476.72</v>
      </c>
      <c r="BZ28" s="266">
        <v>-343366.47</v>
      </c>
      <c r="CA28" s="266">
        <v>-92475.96</v>
      </c>
      <c r="CB28" s="266">
        <v>-26690.75</v>
      </c>
      <c r="CC28" s="266">
        <v>773673.34</v>
      </c>
      <c r="CD28" s="266">
        <v>-2145767.14</v>
      </c>
      <c r="CE28" s="266">
        <v>102444160.62</v>
      </c>
      <c r="CF28" s="266">
        <v>-708534.62</v>
      </c>
      <c r="CG28" s="266">
        <v>-822042.58</v>
      </c>
      <c r="CH28" s="266">
        <v>-942139.14</v>
      </c>
      <c r="CI28" s="266">
        <v>-796434.33</v>
      </c>
      <c r="CJ28" s="266">
        <v>-304750.12</v>
      </c>
      <c r="CK28" s="266">
        <v>-1481992.23</v>
      </c>
      <c r="CL28" s="266">
        <v>-904307.37</v>
      </c>
      <c r="CM28" s="266">
        <v>-1197009.68</v>
      </c>
      <c r="CN28" s="266">
        <v>-999466.31</v>
      </c>
      <c r="CO28" s="266">
        <v>-1013854.54</v>
      </c>
      <c r="CP28" s="266">
        <v>-1025637.85</v>
      </c>
      <c r="CQ28" s="266">
        <v>-1052649.29</v>
      </c>
      <c r="CR28" s="266">
        <v>-792384.06</v>
      </c>
      <c r="CS28" s="266">
        <v>-847430.07</v>
      </c>
      <c r="CT28" s="266">
        <v>-199846.72</v>
      </c>
      <c r="CU28" s="266">
        <v>-613746.42</v>
      </c>
      <c r="CV28" s="266">
        <v>-678836.64</v>
      </c>
      <c r="CW28" s="266">
        <v>-739998.05</v>
      </c>
      <c r="CX28" s="266">
        <v>-918876.47</v>
      </c>
      <c r="CY28" s="266">
        <v>-1182293.91</v>
      </c>
      <c r="CZ28" s="266">
        <v>-882325.07</v>
      </c>
      <c r="DA28" s="266">
        <v>-987877.43</v>
      </c>
      <c r="DB28" s="266">
        <v>-1070981.24</v>
      </c>
      <c r="DC28" s="266">
        <v>-365017.56</v>
      </c>
      <c r="DD28" s="266">
        <v>-356830.65</v>
      </c>
      <c r="DE28" s="266">
        <v>-1476141.8</v>
      </c>
      <c r="DF28" s="266">
        <v>-631977.51</v>
      </c>
      <c r="DG28" s="266">
        <v>-82321.18</v>
      </c>
      <c r="DH28" s="266">
        <v>-307024.2</v>
      </c>
      <c r="DI28" s="266"/>
      <c r="DJ28" s="257">
        <v>0</v>
      </c>
      <c r="DK28" s="257">
        <v>0</v>
      </c>
      <c r="DL28" s="257">
        <v>0</v>
      </c>
      <c r="DM28" s="257">
        <v>0</v>
      </c>
      <c r="DN28" s="257">
        <v>0</v>
      </c>
      <c r="DO28" s="257">
        <v>0</v>
      </c>
    </row>
    <row r="29" s="257" customFormat="1" spans="1:119">
      <c r="A29" s="263" t="s">
        <v>261</v>
      </c>
      <c r="B29" s="266">
        <v>0</v>
      </c>
      <c r="C29" s="267"/>
      <c r="D29" s="267"/>
      <c r="E29" s="267"/>
      <c r="F29" s="267"/>
      <c r="G29" s="267"/>
      <c r="H29" s="268"/>
      <c r="I29" s="267">
        <v>0</v>
      </c>
      <c r="J29" s="267">
        <v>0</v>
      </c>
      <c r="K29" s="267">
        <v>0</v>
      </c>
      <c r="L29" s="267">
        <v>0</v>
      </c>
      <c r="M29" s="266">
        <v>0</v>
      </c>
      <c r="N29" s="267">
        <v>0</v>
      </c>
      <c r="O29" s="267">
        <v>0</v>
      </c>
      <c r="P29" s="267">
        <v>0</v>
      </c>
      <c r="Q29" s="267">
        <v>0</v>
      </c>
      <c r="R29" s="267">
        <v>0</v>
      </c>
      <c r="S29" s="267">
        <v>0</v>
      </c>
      <c r="T29" s="267">
        <v>0</v>
      </c>
      <c r="U29" s="267">
        <v>0</v>
      </c>
      <c r="V29" s="267">
        <v>0</v>
      </c>
      <c r="W29" s="267">
        <v>0</v>
      </c>
      <c r="X29" s="267">
        <v>0</v>
      </c>
      <c r="Y29" s="267">
        <v>0</v>
      </c>
      <c r="Z29" s="267">
        <v>0</v>
      </c>
      <c r="AA29" s="267">
        <v>0</v>
      </c>
      <c r="AB29" s="267"/>
      <c r="AC29" s="267"/>
      <c r="AD29" s="267"/>
      <c r="AE29" s="267"/>
      <c r="AF29" s="267"/>
      <c r="AG29" s="267"/>
      <c r="AH29" s="267"/>
      <c r="AI29" s="267"/>
      <c r="AJ29" s="267">
        <v>0</v>
      </c>
      <c r="AK29" s="267">
        <v>0</v>
      </c>
      <c r="AL29" s="267">
        <v>0</v>
      </c>
      <c r="AM29" s="267">
        <v>0</v>
      </c>
      <c r="AN29" s="267"/>
      <c r="AP29" s="257">
        <v>0</v>
      </c>
      <c r="AQ29" s="257">
        <v>0</v>
      </c>
      <c r="AR29" s="257">
        <v>0</v>
      </c>
      <c r="AS29" s="257">
        <v>0</v>
      </c>
      <c r="AT29" s="257">
        <v>0</v>
      </c>
      <c r="DJ29" s="257">
        <v>0</v>
      </c>
      <c r="DK29" s="257">
        <v>0</v>
      </c>
      <c r="DL29" s="257">
        <v>0</v>
      </c>
      <c r="DM29" s="257">
        <v>0</v>
      </c>
      <c r="DN29" s="257">
        <v>0</v>
      </c>
      <c r="DO29" s="257">
        <v>0</v>
      </c>
    </row>
    <row r="30" s="257" customFormat="1" spans="1:119">
      <c r="A30" s="265" t="s">
        <v>53</v>
      </c>
      <c r="B30" s="266">
        <v>-152956214.48</v>
      </c>
      <c r="C30" s="267">
        <v>-152956214.48</v>
      </c>
      <c r="D30" s="267"/>
      <c r="E30" s="267"/>
      <c r="F30" s="267"/>
      <c r="G30" s="267"/>
      <c r="H30" s="268"/>
      <c r="I30" s="267">
        <v>0</v>
      </c>
      <c r="J30" s="267">
        <v>0</v>
      </c>
      <c r="K30" s="267">
        <v>0</v>
      </c>
      <c r="L30" s="267">
        <v>2464994.42</v>
      </c>
      <c r="M30" s="266">
        <v>0</v>
      </c>
      <c r="N30" s="267">
        <v>-156750557.2</v>
      </c>
      <c r="O30" s="267">
        <v>0</v>
      </c>
      <c r="P30" s="267">
        <v>0</v>
      </c>
      <c r="Q30" s="267">
        <v>0</v>
      </c>
      <c r="R30" s="267">
        <v>0</v>
      </c>
      <c r="S30" s="267">
        <v>0</v>
      </c>
      <c r="T30" s="267">
        <v>1329348.3</v>
      </c>
      <c r="U30" s="267">
        <v>0</v>
      </c>
      <c r="V30" s="267">
        <v>-6364994.9</v>
      </c>
      <c r="W30" s="267">
        <v>0</v>
      </c>
      <c r="X30" s="267">
        <v>8829989.32</v>
      </c>
      <c r="Y30" s="267">
        <v>0</v>
      </c>
      <c r="Z30" s="267">
        <v>0</v>
      </c>
      <c r="AA30" s="267">
        <v>0</v>
      </c>
      <c r="AB30" s="267"/>
      <c r="AC30" s="267"/>
      <c r="AD30" s="267"/>
      <c r="AE30" s="267"/>
      <c r="AF30" s="267"/>
      <c r="AG30" s="267"/>
      <c r="AH30" s="267"/>
      <c r="AI30" s="267"/>
      <c r="AJ30" s="267">
        <v>-3879991.99</v>
      </c>
      <c r="AK30" s="267">
        <v>42378427.44</v>
      </c>
      <c r="AL30" s="267">
        <v>-196083899.57</v>
      </c>
      <c r="AM30" s="267">
        <v>834906.92</v>
      </c>
      <c r="AN30" s="267"/>
      <c r="AP30" s="257">
        <v>0</v>
      </c>
      <c r="AQ30" s="257">
        <v>0</v>
      </c>
      <c r="AR30" s="257">
        <v>1329348.3</v>
      </c>
      <c r="AS30" s="257">
        <v>0</v>
      </c>
      <c r="AT30" s="257">
        <v>0</v>
      </c>
      <c r="DJ30" s="257">
        <v>0</v>
      </c>
      <c r="DK30" s="257">
        <v>0</v>
      </c>
      <c r="DL30" s="257">
        <v>0</v>
      </c>
      <c r="DM30" s="257">
        <v>0</v>
      </c>
      <c r="DN30" s="257">
        <v>0</v>
      </c>
      <c r="DO30" s="257">
        <v>0</v>
      </c>
    </row>
    <row r="31" s="257" customFormat="1" spans="1:119">
      <c r="A31" s="265" t="s">
        <v>262</v>
      </c>
      <c r="B31" s="266">
        <v>-152956214.48</v>
      </c>
      <c r="C31" s="266">
        <v>-152956214.48</v>
      </c>
      <c r="D31" s="266"/>
      <c r="E31" s="266"/>
      <c r="F31" s="266"/>
      <c r="G31" s="266"/>
      <c r="H31" s="266"/>
      <c r="I31" s="266">
        <v>0</v>
      </c>
      <c r="J31" s="266">
        <v>0</v>
      </c>
      <c r="K31" s="266">
        <v>0</v>
      </c>
      <c r="L31" s="266">
        <v>2464994.42</v>
      </c>
      <c r="M31" s="266">
        <v>0</v>
      </c>
      <c r="N31" s="266">
        <v>-156750557.2</v>
      </c>
      <c r="O31" s="266">
        <v>0</v>
      </c>
      <c r="P31" s="266">
        <v>0</v>
      </c>
      <c r="Q31" s="266">
        <v>0</v>
      </c>
      <c r="R31" s="266">
        <v>0</v>
      </c>
      <c r="S31" s="266">
        <v>0</v>
      </c>
      <c r="T31" s="266">
        <v>1329348.3</v>
      </c>
      <c r="U31" s="266">
        <v>0</v>
      </c>
      <c r="V31" s="266">
        <v>-6364994.9</v>
      </c>
      <c r="W31" s="266">
        <v>0</v>
      </c>
      <c r="X31" s="266">
        <v>8829989.32</v>
      </c>
      <c r="Y31" s="266">
        <v>0</v>
      </c>
      <c r="Z31" s="266">
        <v>0</v>
      </c>
      <c r="AA31" s="266">
        <v>0</v>
      </c>
      <c r="AB31" s="266"/>
      <c r="AC31" s="266"/>
      <c r="AD31" s="266"/>
      <c r="AE31" s="266"/>
      <c r="AF31" s="266"/>
      <c r="AG31" s="266"/>
      <c r="AH31" s="266"/>
      <c r="AI31" s="266"/>
      <c r="AJ31" s="266">
        <v>-3879991.99</v>
      </c>
      <c r="AK31" s="266">
        <v>42378427.44</v>
      </c>
      <c r="AL31" s="266">
        <v>-196083899.57</v>
      </c>
      <c r="AM31" s="266">
        <v>834906.92</v>
      </c>
      <c r="AN31" s="266"/>
      <c r="AO31" s="266"/>
      <c r="AP31" s="266">
        <v>0</v>
      </c>
      <c r="AQ31" s="266">
        <v>0</v>
      </c>
      <c r="AR31" s="266">
        <v>1329348.3</v>
      </c>
      <c r="AS31" s="266">
        <v>0</v>
      </c>
      <c r="AT31" s="266">
        <v>0</v>
      </c>
      <c r="AU31" s="266"/>
      <c r="AV31" s="266"/>
      <c r="AW31" s="266"/>
      <c r="AX31" s="266"/>
      <c r="AY31" s="266"/>
      <c r="AZ31" s="266"/>
      <c r="BA31" s="266"/>
      <c r="BB31" s="266"/>
      <c r="BC31" s="266"/>
      <c r="BD31" s="266"/>
      <c r="BE31" s="266"/>
      <c r="BF31" s="266"/>
      <c r="BG31" s="266"/>
      <c r="BH31" s="266"/>
      <c r="BI31" s="266"/>
      <c r="BJ31" s="266"/>
      <c r="BK31" s="266"/>
      <c r="BL31" s="266"/>
      <c r="BM31" s="266"/>
      <c r="BN31" s="266"/>
      <c r="BO31" s="266"/>
      <c r="BP31" s="266"/>
      <c r="BQ31" s="266"/>
      <c r="BR31" s="266"/>
      <c r="BS31" s="266"/>
      <c r="BT31" s="266"/>
      <c r="BU31" s="266"/>
      <c r="BV31" s="266"/>
      <c r="BW31" s="266"/>
      <c r="BX31" s="266"/>
      <c r="BY31" s="266"/>
      <c r="BZ31" s="266"/>
      <c r="CA31" s="266"/>
      <c r="CB31" s="266"/>
      <c r="CC31" s="266"/>
      <c r="CD31" s="266"/>
      <c r="CE31" s="266"/>
      <c r="CF31" s="266"/>
      <c r="CG31" s="266"/>
      <c r="CH31" s="266"/>
      <c r="CI31" s="266"/>
      <c r="CJ31" s="266"/>
      <c r="CK31" s="266"/>
      <c r="CL31" s="266"/>
      <c r="CM31" s="266"/>
      <c r="CN31" s="266"/>
      <c r="CO31" s="266"/>
      <c r="CP31" s="266"/>
      <c r="CQ31" s="266"/>
      <c r="CR31" s="266"/>
      <c r="CS31" s="266"/>
      <c r="CT31" s="266"/>
      <c r="CU31" s="266"/>
      <c r="CV31" s="266"/>
      <c r="CW31" s="266"/>
      <c r="CX31" s="266"/>
      <c r="CY31" s="266"/>
      <c r="CZ31" s="266"/>
      <c r="DA31" s="266"/>
      <c r="DB31" s="266"/>
      <c r="DC31" s="266"/>
      <c r="DD31" s="266"/>
      <c r="DE31" s="266"/>
      <c r="DF31" s="266"/>
      <c r="DG31" s="266"/>
      <c r="DH31" s="266"/>
      <c r="DI31" s="266"/>
      <c r="DJ31" s="257">
        <v>0</v>
      </c>
      <c r="DK31" s="257">
        <v>0</v>
      </c>
      <c r="DL31" s="257">
        <v>0</v>
      </c>
      <c r="DM31" s="257">
        <v>0</v>
      </c>
      <c r="DN31" s="257">
        <v>0</v>
      </c>
      <c r="DO31" s="257">
        <v>0</v>
      </c>
    </row>
    <row r="32" s="257" customFormat="1" spans="1:119">
      <c r="A32" s="263" t="s">
        <v>263</v>
      </c>
      <c r="B32" s="266">
        <v>0</v>
      </c>
      <c r="C32" s="267"/>
      <c r="D32" s="267"/>
      <c r="E32" s="267"/>
      <c r="F32" s="267"/>
      <c r="G32" s="267"/>
      <c r="H32" s="268"/>
      <c r="I32" s="267"/>
      <c r="J32" s="267"/>
      <c r="K32" s="267"/>
      <c r="L32" s="267"/>
      <c r="M32" s="266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DJ32" s="257">
        <v>0</v>
      </c>
      <c r="DK32" s="257">
        <v>0</v>
      </c>
      <c r="DL32" s="257">
        <v>0</v>
      </c>
      <c r="DM32" s="257">
        <v>0</v>
      </c>
      <c r="DN32" s="257">
        <v>0</v>
      </c>
      <c r="DO32" s="257">
        <v>0</v>
      </c>
    </row>
    <row r="33" s="257" customFormat="1" spans="1:119">
      <c r="A33" s="265" t="s">
        <v>264</v>
      </c>
      <c r="B33" s="266">
        <v>233420497.14</v>
      </c>
      <c r="C33" s="266">
        <v>233420497.14</v>
      </c>
      <c r="D33" s="266"/>
      <c r="E33" s="266"/>
      <c r="F33" s="266"/>
      <c r="G33" s="266"/>
      <c r="H33" s="266"/>
      <c r="I33" s="266">
        <v>-539261949.61</v>
      </c>
      <c r="J33" s="266">
        <v>4429060.87</v>
      </c>
      <c r="K33" s="266">
        <v>0</v>
      </c>
      <c r="L33" s="266">
        <v>234721248.4</v>
      </c>
      <c r="M33" s="266">
        <v>146932417.62</v>
      </c>
      <c r="N33" s="266">
        <v>-189331603.9</v>
      </c>
      <c r="O33" s="266">
        <v>-16102009.23</v>
      </c>
      <c r="P33" s="266">
        <v>-5779203.94</v>
      </c>
      <c r="Q33" s="266">
        <v>-2916260.29</v>
      </c>
      <c r="R33" s="266">
        <v>0.11</v>
      </c>
      <c r="S33" s="266">
        <v>-8377787.94</v>
      </c>
      <c r="T33" s="266">
        <v>609106585.05</v>
      </c>
      <c r="U33" s="266">
        <v>-10528923.47</v>
      </c>
      <c r="V33" s="266">
        <v>60898170.22</v>
      </c>
      <c r="W33" s="266">
        <v>37803210.49</v>
      </c>
      <c r="X33" s="266">
        <v>68296650.93</v>
      </c>
      <c r="Y33" s="266">
        <v>2464881.45</v>
      </c>
      <c r="Z33" s="266">
        <v>73134470.87</v>
      </c>
      <c r="AA33" s="266">
        <v>2652787.91</v>
      </c>
      <c r="AB33" s="266">
        <v>-5565923.31</v>
      </c>
      <c r="AC33" s="266">
        <v>139726592.27</v>
      </c>
      <c r="AD33" s="266">
        <v>3294403.36</v>
      </c>
      <c r="AE33" s="266">
        <v>11867611.99</v>
      </c>
      <c r="AF33" s="266">
        <v>622051.69</v>
      </c>
      <c r="AG33" s="266">
        <v>-2386651.68</v>
      </c>
      <c r="AH33" s="266">
        <v>-625666.7</v>
      </c>
      <c r="AI33" s="266">
        <v>0</v>
      </c>
      <c r="AJ33" s="266">
        <v>-5588532.71</v>
      </c>
      <c r="AK33" s="266">
        <v>48672077.5</v>
      </c>
      <c r="AL33" s="266">
        <v>-248336467.26</v>
      </c>
      <c r="AM33" s="266">
        <v>15921318.57</v>
      </c>
      <c r="AN33" s="266">
        <v>-4551721.85</v>
      </c>
      <c r="AO33" s="266">
        <v>-1227482.09</v>
      </c>
      <c r="AP33" s="266">
        <v>-61580587.11</v>
      </c>
      <c r="AQ33" s="266">
        <v>-6019917.48</v>
      </c>
      <c r="AR33" s="266">
        <v>383920771.21</v>
      </c>
      <c r="AS33" s="266">
        <v>-5373565.12</v>
      </c>
      <c r="AT33" s="266">
        <v>298159883.55</v>
      </c>
      <c r="AU33" s="266">
        <v>13437625.41</v>
      </c>
      <c r="AV33" s="266">
        <v>15230209.12</v>
      </c>
      <c r="AW33" s="266">
        <v>12251956.28</v>
      </c>
      <c r="AX33" s="266">
        <v>8348522.24</v>
      </c>
      <c r="AY33" s="266">
        <v>17164974.49</v>
      </c>
      <c r="AZ33" s="266">
        <v>13991869.48</v>
      </c>
      <c r="BA33" s="266">
        <v>3816470.06</v>
      </c>
      <c r="BB33" s="266">
        <v>17926009.05</v>
      </c>
      <c r="BC33" s="266">
        <v>5200193.4</v>
      </c>
      <c r="BD33" s="266">
        <v>3036354.91</v>
      </c>
      <c r="BE33" s="266">
        <v>11054657.54</v>
      </c>
      <c r="BF33" s="266">
        <v>71891982.56</v>
      </c>
      <c r="BG33" s="266">
        <v>2009217.53</v>
      </c>
      <c r="BH33" s="266">
        <v>3205590.77</v>
      </c>
      <c r="BI33" s="266">
        <v>3675139.12</v>
      </c>
      <c r="BJ33" s="266">
        <v>3364478.49</v>
      </c>
      <c r="BK33" s="266">
        <v>2848072.67</v>
      </c>
      <c r="BL33" s="266">
        <v>2806313.24</v>
      </c>
      <c r="BM33" s="266">
        <v>4137874.6</v>
      </c>
      <c r="BN33" s="266">
        <v>1224267.91</v>
      </c>
      <c r="BO33" s="266">
        <v>2420312.15</v>
      </c>
      <c r="BP33" s="266">
        <v>3845196.8</v>
      </c>
      <c r="BQ33" s="266">
        <v>610632.52</v>
      </c>
      <c r="BR33" s="266">
        <v>1517748.15</v>
      </c>
      <c r="BS33" s="266">
        <v>62823.23</v>
      </c>
      <c r="BT33" s="266">
        <v>571731.85</v>
      </c>
      <c r="BU33" s="266">
        <v>-327936.23</v>
      </c>
      <c r="BV33" s="266">
        <v>723643.49</v>
      </c>
      <c r="BW33" s="266">
        <v>-69706.03</v>
      </c>
      <c r="BX33" s="266">
        <v>-4777671.13</v>
      </c>
      <c r="BY33" s="266">
        <v>-265476.72</v>
      </c>
      <c r="BZ33" s="266">
        <v>-343366.47</v>
      </c>
      <c r="CA33" s="266">
        <v>-92475.96</v>
      </c>
      <c r="CB33" s="266">
        <v>-26690.75</v>
      </c>
      <c r="CC33" s="266">
        <v>773673.34</v>
      </c>
      <c r="CD33" s="266">
        <v>-2145767.14</v>
      </c>
      <c r="CE33" s="266">
        <v>102444160.62</v>
      </c>
      <c r="CF33" s="266">
        <v>-708534.62</v>
      </c>
      <c r="CG33" s="266">
        <v>-822042.58</v>
      </c>
      <c r="CH33" s="266">
        <v>-942139.14</v>
      </c>
      <c r="CI33" s="266">
        <v>-796434.33</v>
      </c>
      <c r="CJ33" s="266">
        <v>-304750.12</v>
      </c>
      <c r="CK33" s="266">
        <v>-1481992.23</v>
      </c>
      <c r="CL33" s="266">
        <v>-904307.37</v>
      </c>
      <c r="CM33" s="266">
        <v>-1197009.68</v>
      </c>
      <c r="CN33" s="266">
        <v>-999466.31</v>
      </c>
      <c r="CO33" s="266">
        <v>-1013854.54</v>
      </c>
      <c r="CP33" s="266">
        <v>-1025637.85</v>
      </c>
      <c r="CQ33" s="266">
        <v>-1052649.29</v>
      </c>
      <c r="CR33" s="266">
        <v>-792384.06</v>
      </c>
      <c r="CS33" s="266">
        <v>-847430.07</v>
      </c>
      <c r="CT33" s="266">
        <v>-199846.72</v>
      </c>
      <c r="CU33" s="266">
        <v>-613746.42</v>
      </c>
      <c r="CV33" s="266">
        <v>-678836.64</v>
      </c>
      <c r="CW33" s="266">
        <v>-739998.05</v>
      </c>
      <c r="CX33" s="266">
        <v>-918876.47</v>
      </c>
      <c r="CY33" s="266">
        <v>-1182293.91</v>
      </c>
      <c r="CZ33" s="266">
        <v>-882325.07</v>
      </c>
      <c r="DA33" s="266">
        <v>-987877.43</v>
      </c>
      <c r="DB33" s="266">
        <v>-1070981.24</v>
      </c>
      <c r="DC33" s="266">
        <v>-365017.56</v>
      </c>
      <c r="DD33" s="266">
        <v>-356830.65</v>
      </c>
      <c r="DE33" s="266">
        <v>-1476141.8</v>
      </c>
      <c r="DF33" s="266">
        <v>-631977.51</v>
      </c>
      <c r="DG33" s="266">
        <v>-82321.18</v>
      </c>
      <c r="DH33" s="266">
        <v>-307024.2</v>
      </c>
      <c r="DI33" s="266"/>
      <c r="DJ33" s="257">
        <v>0</v>
      </c>
      <c r="DK33" s="257">
        <v>0</v>
      </c>
      <c r="DL33" s="257">
        <v>0</v>
      </c>
      <c r="DM33" s="257">
        <v>0</v>
      </c>
      <c r="DN33" s="257">
        <v>0</v>
      </c>
      <c r="DO33" s="257">
        <v>0</v>
      </c>
    </row>
    <row r="34" s="257" customFormat="1" spans="1:119">
      <c r="A34" s="263" t="s">
        <v>265</v>
      </c>
      <c r="B34" s="266">
        <v>233420497.14</v>
      </c>
      <c r="C34" s="266">
        <v>233420497.14</v>
      </c>
      <c r="D34" s="266"/>
      <c r="E34" s="266"/>
      <c r="F34" s="266"/>
      <c r="G34" s="266"/>
      <c r="H34" s="266"/>
      <c r="I34" s="266">
        <v>-539261949.61</v>
      </c>
      <c r="J34" s="266">
        <v>4429060.87</v>
      </c>
      <c r="K34" s="266">
        <v>0</v>
      </c>
      <c r="L34" s="266">
        <v>234721248.4</v>
      </c>
      <c r="M34" s="266">
        <v>146932417.62</v>
      </c>
      <c r="N34" s="266">
        <v>-189331603.9</v>
      </c>
      <c r="O34" s="266">
        <v>-16102009.23</v>
      </c>
      <c r="P34" s="266">
        <v>-5779203.94</v>
      </c>
      <c r="Q34" s="266">
        <v>-2916260.29</v>
      </c>
      <c r="R34" s="266">
        <v>0.11</v>
      </c>
      <c r="S34" s="266">
        <v>-8377787.94</v>
      </c>
      <c r="T34" s="266">
        <v>609106585.05</v>
      </c>
      <c r="U34" s="266">
        <v>-10528923.47</v>
      </c>
      <c r="V34" s="266">
        <v>60898170.22</v>
      </c>
      <c r="W34" s="266">
        <v>37803210.49</v>
      </c>
      <c r="X34" s="266">
        <v>68296650.93</v>
      </c>
      <c r="Y34" s="266">
        <v>2464881.45</v>
      </c>
      <c r="Z34" s="266">
        <v>73134470.87</v>
      </c>
      <c r="AA34" s="266">
        <v>2652787.91</v>
      </c>
      <c r="AB34" s="266">
        <v>-5565923.31</v>
      </c>
      <c r="AC34" s="266">
        <v>139726592.27</v>
      </c>
      <c r="AD34" s="266">
        <v>3294403.36</v>
      </c>
      <c r="AE34" s="266">
        <v>11867611.99</v>
      </c>
      <c r="AF34" s="266">
        <v>622051.69</v>
      </c>
      <c r="AG34" s="266">
        <v>-2386651.68</v>
      </c>
      <c r="AH34" s="266">
        <v>-625666.7</v>
      </c>
      <c r="AI34" s="266">
        <v>0</v>
      </c>
      <c r="AJ34" s="266">
        <v>-5588532.71</v>
      </c>
      <c r="AK34" s="266">
        <v>48672077.5</v>
      </c>
      <c r="AL34" s="266">
        <v>-248336467.26</v>
      </c>
      <c r="AM34" s="266">
        <v>15921318.57</v>
      </c>
      <c r="AN34" s="266">
        <v>-4551721.85</v>
      </c>
      <c r="AO34" s="266">
        <v>-1227482.09</v>
      </c>
      <c r="AP34" s="266">
        <v>-61580587.11</v>
      </c>
      <c r="AQ34" s="266">
        <v>-6019917.48</v>
      </c>
      <c r="AR34" s="266">
        <v>383920771.21</v>
      </c>
      <c r="AS34" s="266">
        <v>-5373565.12</v>
      </c>
      <c r="AT34" s="266">
        <v>298159883.55</v>
      </c>
      <c r="AU34" s="266">
        <v>13437625.41</v>
      </c>
      <c r="AV34" s="266">
        <v>15230209.12</v>
      </c>
      <c r="AW34" s="266">
        <v>12251956.28</v>
      </c>
      <c r="AX34" s="266">
        <v>8348522.24</v>
      </c>
      <c r="AY34" s="266">
        <v>17164974.49</v>
      </c>
      <c r="AZ34" s="266">
        <v>13991869.48</v>
      </c>
      <c r="BA34" s="266">
        <v>3816470.06</v>
      </c>
      <c r="BB34" s="266">
        <v>17926009.05</v>
      </c>
      <c r="BC34" s="266">
        <v>5200193.4</v>
      </c>
      <c r="BD34" s="266">
        <v>3036354.91</v>
      </c>
      <c r="BE34" s="266">
        <v>11054657.54</v>
      </c>
      <c r="BF34" s="266">
        <v>71891982.56</v>
      </c>
      <c r="BG34" s="266">
        <v>2009217.53</v>
      </c>
      <c r="BH34" s="266">
        <v>3205590.77</v>
      </c>
      <c r="BI34" s="266">
        <v>3675139.12</v>
      </c>
      <c r="BJ34" s="266">
        <v>3364478.49</v>
      </c>
      <c r="BK34" s="266">
        <v>2848072.67</v>
      </c>
      <c r="BL34" s="266">
        <v>2806313.24</v>
      </c>
      <c r="BM34" s="266">
        <v>4137874.6</v>
      </c>
      <c r="BN34" s="266">
        <v>1224267.91</v>
      </c>
      <c r="BO34" s="266">
        <v>2420312.15</v>
      </c>
      <c r="BP34" s="266">
        <v>3845196.8</v>
      </c>
      <c r="BQ34" s="266">
        <v>610632.52</v>
      </c>
      <c r="BR34" s="266">
        <v>1517748.15</v>
      </c>
      <c r="BS34" s="266">
        <v>62823.23</v>
      </c>
      <c r="BT34" s="266">
        <v>571731.85</v>
      </c>
      <c r="BU34" s="266">
        <v>-327936.23</v>
      </c>
      <c r="BV34" s="266">
        <v>723643.49</v>
      </c>
      <c r="BW34" s="266">
        <v>-69706.03</v>
      </c>
      <c r="BX34" s="266">
        <v>-4777671.13</v>
      </c>
      <c r="BY34" s="266">
        <v>-265476.72</v>
      </c>
      <c r="BZ34" s="266">
        <v>-343366.47</v>
      </c>
      <c r="CA34" s="266">
        <v>-92475.96</v>
      </c>
      <c r="CB34" s="266">
        <v>-26690.75</v>
      </c>
      <c r="CC34" s="266">
        <v>773673.34</v>
      </c>
      <c r="CD34" s="266">
        <v>-2145767.14</v>
      </c>
      <c r="CE34" s="266">
        <v>102444160.62</v>
      </c>
      <c r="CF34" s="266">
        <v>-708534.62</v>
      </c>
      <c r="CG34" s="266">
        <v>-822042.58</v>
      </c>
      <c r="CH34" s="266">
        <v>-942139.14</v>
      </c>
      <c r="CI34" s="266">
        <v>-796434.33</v>
      </c>
      <c r="CJ34" s="266">
        <v>-304750.12</v>
      </c>
      <c r="CK34" s="266">
        <v>-1481992.23</v>
      </c>
      <c r="CL34" s="266">
        <v>-904307.37</v>
      </c>
      <c r="CM34" s="266">
        <v>-1197009.68</v>
      </c>
      <c r="CN34" s="266">
        <v>-999466.31</v>
      </c>
      <c r="CO34" s="266">
        <v>-1013854.54</v>
      </c>
      <c r="CP34" s="266">
        <v>-1025637.85</v>
      </c>
      <c r="CQ34" s="266">
        <v>-1052649.29</v>
      </c>
      <c r="CR34" s="266">
        <v>-792384.06</v>
      </c>
      <c r="CS34" s="266">
        <v>-847430.07</v>
      </c>
      <c r="CT34" s="266">
        <v>-199846.72</v>
      </c>
      <c r="CU34" s="266">
        <v>-613746.42</v>
      </c>
      <c r="CV34" s="266">
        <v>-678836.64</v>
      </c>
      <c r="CW34" s="266">
        <v>-739998.05</v>
      </c>
      <c r="CX34" s="266">
        <v>-918876.47</v>
      </c>
      <c r="CY34" s="266">
        <v>-1182293.91</v>
      </c>
      <c r="CZ34" s="266">
        <v>-882325.07</v>
      </c>
      <c r="DA34" s="266">
        <v>-987877.43</v>
      </c>
      <c r="DB34" s="266">
        <v>-1070981.24</v>
      </c>
      <c r="DC34" s="266">
        <v>-365017.56</v>
      </c>
      <c r="DD34" s="266">
        <v>-356830.65</v>
      </c>
      <c r="DE34" s="266">
        <v>-1476141.8</v>
      </c>
      <c r="DF34" s="266">
        <v>-631977.51</v>
      </c>
      <c r="DG34" s="266">
        <v>-82321.18</v>
      </c>
      <c r="DH34" s="266">
        <v>-307024.2</v>
      </c>
      <c r="DI34" s="266"/>
      <c r="DJ34" s="257">
        <v>0</v>
      </c>
      <c r="DK34" s="257">
        <v>0</v>
      </c>
      <c r="DL34" s="257">
        <v>0</v>
      </c>
      <c r="DM34" s="257">
        <v>0</v>
      </c>
      <c r="DN34" s="257">
        <v>0</v>
      </c>
      <c r="DO34" s="257">
        <v>0</v>
      </c>
    </row>
    <row r="35" s="258" customFormat="1" ht="14.25" spans="1:119">
      <c r="A35" s="270" t="s">
        <v>266</v>
      </c>
      <c r="B35" s="271">
        <v>0</v>
      </c>
      <c r="C35" s="271">
        <v>0</v>
      </c>
      <c r="D35" s="271"/>
      <c r="E35" s="271"/>
      <c r="F35" s="271"/>
      <c r="G35" s="271"/>
      <c r="H35" s="271"/>
      <c r="I35" s="271">
        <v>0</v>
      </c>
      <c r="J35" s="271">
        <v>0</v>
      </c>
      <c r="K35" s="271">
        <v>0</v>
      </c>
      <c r="L35" s="271">
        <v>0</v>
      </c>
      <c r="M35" s="271">
        <v>0</v>
      </c>
      <c r="N35" s="271">
        <v>0</v>
      </c>
      <c r="O35" s="271">
        <v>0</v>
      </c>
      <c r="P35" s="271">
        <v>0</v>
      </c>
      <c r="Q35" s="271">
        <v>0</v>
      </c>
      <c r="R35" s="271">
        <v>0</v>
      </c>
      <c r="S35" s="271">
        <v>0</v>
      </c>
      <c r="T35" s="271">
        <v>0</v>
      </c>
      <c r="U35" s="271">
        <v>0</v>
      </c>
      <c r="V35" s="271">
        <v>0</v>
      </c>
      <c r="W35" s="271">
        <v>0</v>
      </c>
      <c r="X35" s="271">
        <v>0</v>
      </c>
      <c r="Y35" s="271">
        <v>0</v>
      </c>
      <c r="Z35" s="271">
        <v>0</v>
      </c>
      <c r="AA35" s="271">
        <v>0</v>
      </c>
      <c r="AB35" s="271">
        <v>0</v>
      </c>
      <c r="AC35" s="271">
        <v>0</v>
      </c>
      <c r="AD35" s="271">
        <v>0</v>
      </c>
      <c r="AE35" s="271">
        <v>0</v>
      </c>
      <c r="AF35" s="271">
        <v>0</v>
      </c>
      <c r="AG35" s="271">
        <v>0</v>
      </c>
      <c r="AH35" s="271">
        <v>0</v>
      </c>
      <c r="AI35" s="271">
        <v>0</v>
      </c>
      <c r="AJ35" s="271">
        <v>0</v>
      </c>
      <c r="AK35" s="271">
        <v>0</v>
      </c>
      <c r="AL35" s="271">
        <v>0</v>
      </c>
      <c r="AM35" s="271">
        <v>0</v>
      </c>
      <c r="AN35" s="271">
        <v>0</v>
      </c>
      <c r="AO35" s="271">
        <v>0</v>
      </c>
      <c r="AP35" s="271">
        <v>0</v>
      </c>
      <c r="AQ35" s="271">
        <v>0</v>
      </c>
      <c r="AR35" s="271">
        <v>0</v>
      </c>
      <c r="AS35" s="271">
        <v>0</v>
      </c>
      <c r="AT35" s="271">
        <v>0</v>
      </c>
      <c r="AU35" s="271">
        <v>0</v>
      </c>
      <c r="AV35" s="271">
        <v>0</v>
      </c>
      <c r="AW35" s="271">
        <v>0</v>
      </c>
      <c r="AX35" s="271">
        <v>0</v>
      </c>
      <c r="AY35" s="271">
        <v>0</v>
      </c>
      <c r="AZ35" s="271">
        <v>0</v>
      </c>
      <c r="BA35" s="271">
        <v>0</v>
      </c>
      <c r="BB35" s="271">
        <v>0</v>
      </c>
      <c r="BC35" s="271">
        <v>0</v>
      </c>
      <c r="BD35" s="271">
        <v>0</v>
      </c>
      <c r="BE35" s="271">
        <v>0</v>
      </c>
      <c r="BF35" s="271">
        <v>0</v>
      </c>
      <c r="BG35" s="271">
        <v>0</v>
      </c>
      <c r="BH35" s="271">
        <v>0</v>
      </c>
      <c r="BI35" s="271">
        <v>0</v>
      </c>
      <c r="BJ35" s="271">
        <v>0</v>
      </c>
      <c r="BK35" s="271">
        <v>0</v>
      </c>
      <c r="BL35" s="271">
        <v>0</v>
      </c>
      <c r="BM35" s="271">
        <v>0</v>
      </c>
      <c r="BN35" s="271">
        <v>0</v>
      </c>
      <c r="BO35" s="271">
        <v>0</v>
      </c>
      <c r="BP35" s="271">
        <v>0</v>
      </c>
      <c r="BQ35" s="271">
        <v>0</v>
      </c>
      <c r="BR35" s="271">
        <v>0</v>
      </c>
      <c r="BS35" s="271">
        <v>0</v>
      </c>
      <c r="BT35" s="271">
        <v>0</v>
      </c>
      <c r="BU35" s="271">
        <v>0</v>
      </c>
      <c r="BV35" s="271">
        <v>0</v>
      </c>
      <c r="BW35" s="271">
        <v>0</v>
      </c>
      <c r="BX35" s="271">
        <v>0</v>
      </c>
      <c r="BY35" s="271">
        <v>0</v>
      </c>
      <c r="BZ35" s="271">
        <v>0</v>
      </c>
      <c r="CA35" s="271">
        <v>0</v>
      </c>
      <c r="CB35" s="271">
        <v>0</v>
      </c>
      <c r="CC35" s="271">
        <v>0</v>
      </c>
      <c r="CD35" s="271">
        <v>0</v>
      </c>
      <c r="CE35" s="271">
        <v>0</v>
      </c>
      <c r="CF35" s="271">
        <v>0</v>
      </c>
      <c r="CG35" s="271">
        <v>0</v>
      </c>
      <c r="CH35" s="271">
        <v>0</v>
      </c>
      <c r="CI35" s="271">
        <v>0</v>
      </c>
      <c r="CJ35" s="271">
        <v>0</v>
      </c>
      <c r="CK35" s="271">
        <v>0</v>
      </c>
      <c r="CL35" s="271">
        <v>0</v>
      </c>
      <c r="CM35" s="271">
        <v>0</v>
      </c>
      <c r="CN35" s="271">
        <v>0</v>
      </c>
      <c r="CO35" s="271">
        <v>0</v>
      </c>
      <c r="CP35" s="271">
        <v>0</v>
      </c>
      <c r="CQ35" s="271">
        <v>0</v>
      </c>
      <c r="CR35" s="271">
        <v>0</v>
      </c>
      <c r="CS35" s="271">
        <v>0</v>
      </c>
      <c r="CT35" s="271">
        <v>0</v>
      </c>
      <c r="CU35" s="271">
        <v>0</v>
      </c>
      <c r="CV35" s="271">
        <v>0</v>
      </c>
      <c r="CW35" s="271">
        <v>0</v>
      </c>
      <c r="CX35" s="271">
        <v>0</v>
      </c>
      <c r="CY35" s="271">
        <v>0</v>
      </c>
      <c r="CZ35" s="271">
        <v>0</v>
      </c>
      <c r="DA35" s="271">
        <v>0</v>
      </c>
      <c r="DB35" s="271">
        <v>0</v>
      </c>
      <c r="DC35" s="271">
        <v>0</v>
      </c>
      <c r="DD35" s="271">
        <v>0</v>
      </c>
      <c r="DE35" s="271">
        <v>0</v>
      </c>
      <c r="DF35" s="271">
        <v>0</v>
      </c>
      <c r="DG35" s="271">
        <v>0</v>
      </c>
      <c r="DH35" s="271">
        <v>0</v>
      </c>
      <c r="DI35" s="271"/>
      <c r="DJ35" s="258">
        <v>0</v>
      </c>
      <c r="DK35" s="258">
        <v>0</v>
      </c>
      <c r="DL35" s="258">
        <v>0</v>
      </c>
      <c r="DM35" s="258">
        <v>0</v>
      </c>
      <c r="DN35" s="258">
        <v>0</v>
      </c>
      <c r="DO35" s="258">
        <v>0</v>
      </c>
    </row>
    <row r="36" s="259" customFormat="1" spans="1:6">
      <c r="A36" s="272"/>
      <c r="B36" s="259">
        <f>B4+B30/0.75</f>
        <v>1042856376.88333</v>
      </c>
      <c r="E36" s="259">
        <f>E4+E30/0.75</f>
        <v>0</v>
      </c>
      <c r="F36" s="259">
        <f>F4+F30/0.75</f>
        <v>0</v>
      </c>
    </row>
  </sheetData>
  <mergeCells count="7">
    <mergeCell ref="I2:T2"/>
    <mergeCell ref="U2:AA2"/>
    <mergeCell ref="AB2:AE2"/>
    <mergeCell ref="AK2:AM2"/>
    <mergeCell ref="AN2:AO2"/>
    <mergeCell ref="AP2:AU2"/>
    <mergeCell ref="AV2:DE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G69"/>
  <sheetViews>
    <sheetView showGridLines="0" workbookViewId="0">
      <selection activeCell="A2" sqref="A2:DT52"/>
    </sheetView>
  </sheetViews>
  <sheetFormatPr defaultColWidth="11.125" defaultRowHeight="12"/>
  <cols>
    <col min="1" max="1" width="16.875" style="62" customWidth="1"/>
    <col min="2" max="2" width="18.375" style="63" customWidth="1"/>
    <col min="3" max="3" width="17.25" style="63" customWidth="1"/>
    <col min="4" max="4" width="17.125" style="63" customWidth="1"/>
    <col min="5" max="5" width="16.125" style="63" customWidth="1"/>
    <col min="6" max="6" width="17.25" style="63" customWidth="1"/>
    <col min="7" max="9" width="16.125" style="63" customWidth="1"/>
    <col min="10" max="10" width="12.25" style="63" customWidth="1"/>
    <col min="11" max="11" width="13.875" style="63" customWidth="1"/>
    <col min="12" max="12" width="16.125" style="63" customWidth="1"/>
    <col min="13" max="16" width="14.125" style="63" customWidth="1"/>
    <col min="17" max="19" width="15.125" style="63" customWidth="1"/>
    <col min="20" max="20" width="12.25" style="63" customWidth="1"/>
    <col min="21" max="21" width="14.125" style="63" customWidth="1"/>
    <col min="22" max="22" width="15.25" style="63" customWidth="1"/>
    <col min="23" max="23" width="16.25" style="63" customWidth="1"/>
    <col min="24" max="24" width="15.25" style="63" customWidth="1"/>
    <col min="25" max="26" width="14.25" style="63" customWidth="1"/>
    <col min="27" max="28" width="11.625" style="63" customWidth="1"/>
    <col min="29" max="29" width="14.25" style="63" customWidth="1"/>
    <col min="30" max="30" width="16.25" style="63" customWidth="1"/>
    <col min="31" max="36" width="14.25" style="63" customWidth="1"/>
    <col min="37" max="37" width="14.125" style="63" customWidth="1"/>
    <col min="38" max="38" width="17" style="63" customWidth="1"/>
    <col min="39" max="49" width="15.25" style="63" customWidth="1"/>
    <col min="50" max="50" width="14.25" style="63" customWidth="1"/>
    <col min="51" max="51" width="12.375" style="63" customWidth="1"/>
    <col min="52" max="52" width="15.25" style="63" customWidth="1"/>
    <col min="53" max="53" width="14.25" style="63" customWidth="1"/>
    <col min="54" max="54" width="16.125" style="63" customWidth="1"/>
    <col min="55" max="56" width="14.25" style="63" customWidth="1"/>
    <col min="57" max="57" width="16.25" style="63" hidden="1" customWidth="1"/>
    <col min="58" max="62" width="15.25" style="63" hidden="1" customWidth="1"/>
    <col min="63" max="63" width="15.125" style="63" hidden="1" customWidth="1"/>
    <col min="64" max="64" width="14.25" style="63" hidden="1" customWidth="1"/>
    <col min="65" max="65" width="15.25" style="63" hidden="1" customWidth="1"/>
    <col min="66" max="67" width="17" style="63" hidden="1" customWidth="1"/>
    <col min="68" max="68" width="15.25" style="63" hidden="1" customWidth="1"/>
    <col min="69" max="69" width="14.25" style="63" hidden="1" customWidth="1"/>
    <col min="70" max="71" width="15.25" style="63" hidden="1" customWidth="1"/>
    <col min="72" max="78" width="14.25" style="63" hidden="1" customWidth="1"/>
    <col min="79" max="80" width="15.25" style="63" hidden="1" customWidth="1"/>
    <col min="81" max="86" width="14.25" style="63" hidden="1" customWidth="1"/>
    <col min="87" max="87" width="15.25" style="63" hidden="1" customWidth="1"/>
    <col min="88" max="88" width="12.375" style="63" hidden="1" customWidth="1"/>
    <col min="89" max="91" width="14.25" style="63" hidden="1" customWidth="1"/>
    <col min="92" max="92" width="15.25" style="63" hidden="1" customWidth="1"/>
    <col min="93" max="94" width="14.25" style="63" hidden="1" customWidth="1"/>
    <col min="95" max="95" width="17" style="63" hidden="1" customWidth="1"/>
    <col min="96" max="99" width="12.375" style="63" hidden="1" customWidth="1"/>
    <col min="100" max="100" width="13.125" style="63" hidden="1" customWidth="1"/>
    <col min="101" max="107" width="12.375" style="63" hidden="1" customWidth="1"/>
    <col min="108" max="108" width="13.5" style="63" hidden="1" customWidth="1"/>
    <col min="109" max="109" width="12.375" style="63" hidden="1" customWidth="1"/>
    <col min="110" max="110" width="13.5" style="63" hidden="1" customWidth="1"/>
    <col min="111" max="116" width="12.375" style="63" hidden="1" customWidth="1"/>
    <col min="117" max="117" width="14.125" style="63" hidden="1" customWidth="1"/>
    <col min="118" max="118" width="15.25" style="63" hidden="1" customWidth="1"/>
    <col min="119" max="119" width="13.125" style="63" hidden="1" customWidth="1"/>
    <col min="120" max="120" width="14.125" style="63" hidden="1" customWidth="1"/>
    <col min="121" max="123" width="15.25" style="63" hidden="1" customWidth="1"/>
    <col min="124" max="127" width="6" style="63" customWidth="1"/>
    <col min="128" max="128" width="16.125" style="63" customWidth="1"/>
    <col min="129" max="130" width="5.875" style="63" customWidth="1"/>
    <col min="131" max="131" width="16.125" style="63" customWidth="1"/>
    <col min="132" max="132" width="5.875" style="63" customWidth="1"/>
    <col min="133" max="133" width="8.125" style="63" customWidth="1"/>
    <col min="134" max="134" width="14.125" style="63" customWidth="1"/>
    <col min="135" max="135" width="6.5" style="63" customWidth="1"/>
    <col min="136" max="137" width="14.125" style="63" customWidth="1"/>
    <col min="138" max="16384" width="11.125" style="63"/>
  </cols>
  <sheetData>
    <row r="1" ht="12.75" spans="1:136">
      <c r="A1" s="245">
        <v>43070</v>
      </c>
      <c r="B1" s="63" t="s">
        <v>267</v>
      </c>
      <c r="EA1" s="252" t="s">
        <v>268</v>
      </c>
      <c r="EB1" s="252"/>
      <c r="EC1" s="252"/>
      <c r="ED1" s="252"/>
      <c r="EE1" s="252"/>
      <c r="EF1" s="252"/>
    </row>
    <row r="2" spans="1:137">
      <c r="A2" s="64"/>
      <c r="B2" s="65" t="s">
        <v>148</v>
      </c>
      <c r="C2" s="67" t="s">
        <v>269</v>
      </c>
      <c r="D2" s="67" t="s">
        <v>270</v>
      </c>
      <c r="E2" s="73" t="s">
        <v>271</v>
      </c>
      <c r="F2" s="73" t="s">
        <v>272</v>
      </c>
      <c r="G2" s="73" t="s">
        <v>273</v>
      </c>
      <c r="H2" s="73" t="s">
        <v>274</v>
      </c>
      <c r="I2" s="73" t="s">
        <v>275</v>
      </c>
      <c r="J2" s="73" t="s">
        <v>276</v>
      </c>
      <c r="K2" s="73" t="s">
        <v>277</v>
      </c>
      <c r="L2" s="73" t="s">
        <v>278</v>
      </c>
      <c r="M2" s="73" t="s">
        <v>80</v>
      </c>
      <c r="N2" s="73" t="s">
        <v>279</v>
      </c>
      <c r="O2" s="73" t="s">
        <v>280</v>
      </c>
      <c r="P2" s="73" t="s">
        <v>281</v>
      </c>
      <c r="Q2" s="73" t="s">
        <v>282</v>
      </c>
      <c r="R2" s="73" t="s">
        <v>283</v>
      </c>
      <c r="S2" s="73" t="s">
        <v>284</v>
      </c>
      <c r="T2" s="73" t="s">
        <v>285</v>
      </c>
      <c r="U2" s="73" t="s">
        <v>286</v>
      </c>
      <c r="V2" s="73" t="s">
        <v>155</v>
      </c>
      <c r="W2" s="73" t="s">
        <v>142</v>
      </c>
      <c r="X2" s="63" t="s">
        <v>287</v>
      </c>
      <c r="Y2" s="73" t="s">
        <v>8</v>
      </c>
      <c r="Z2" s="73" t="s">
        <v>158</v>
      </c>
      <c r="AA2" s="73" t="s">
        <v>144</v>
      </c>
      <c r="AB2" s="73" t="s">
        <v>159</v>
      </c>
      <c r="AC2" s="73" t="s">
        <v>160</v>
      </c>
      <c r="AD2" s="73" t="s">
        <v>30</v>
      </c>
      <c r="AE2" s="73" t="s">
        <v>145</v>
      </c>
      <c r="AF2" s="73" t="s">
        <v>161</v>
      </c>
      <c r="AG2" s="73" t="s">
        <v>14</v>
      </c>
      <c r="AH2" s="73" t="s">
        <v>15</v>
      </c>
      <c r="AI2" s="73" t="s">
        <v>17</v>
      </c>
      <c r="AJ2" s="73" t="s">
        <v>19</v>
      </c>
      <c r="AK2" s="73" t="s">
        <v>18</v>
      </c>
      <c r="AL2" s="73" t="s">
        <v>16</v>
      </c>
      <c r="AM2" s="73" t="s">
        <v>29</v>
      </c>
      <c r="AN2" s="73" t="s">
        <v>23</v>
      </c>
      <c r="AO2" s="73" t="s">
        <v>24</v>
      </c>
      <c r="AP2" s="73" t="s">
        <v>22</v>
      </c>
      <c r="AQ2" s="73" t="s">
        <v>25</v>
      </c>
      <c r="AR2" s="73" t="s">
        <v>26</v>
      </c>
      <c r="AS2" s="73" t="s">
        <v>27</v>
      </c>
      <c r="AT2" s="73" t="s">
        <v>162</v>
      </c>
      <c r="AU2" s="73" t="s">
        <v>12</v>
      </c>
      <c r="AV2" s="73" t="s">
        <v>9</v>
      </c>
      <c r="AW2" s="73" t="s">
        <v>10</v>
      </c>
      <c r="AX2" s="73" t="s">
        <v>11</v>
      </c>
      <c r="AY2" s="73" t="s">
        <v>163</v>
      </c>
      <c r="AZ2" s="73" t="s">
        <v>164</v>
      </c>
      <c r="BA2" s="73" t="s">
        <v>165</v>
      </c>
      <c r="BB2" s="73" t="s">
        <v>166</v>
      </c>
      <c r="BC2" s="73" t="s">
        <v>167</v>
      </c>
      <c r="BD2" s="73" t="s">
        <v>168</v>
      </c>
      <c r="BE2" s="73"/>
      <c r="BF2" s="73" t="s">
        <v>146</v>
      </c>
      <c r="BG2" s="73" t="s">
        <v>169</v>
      </c>
      <c r="BH2" s="73" t="s">
        <v>170</v>
      </c>
      <c r="BI2" s="73" t="s">
        <v>171</v>
      </c>
      <c r="BJ2" s="73" t="s">
        <v>172</v>
      </c>
      <c r="BK2" s="73" t="s">
        <v>173</v>
      </c>
      <c r="BL2" s="73" t="s">
        <v>174</v>
      </c>
      <c r="BM2" s="73" t="s">
        <v>175</v>
      </c>
      <c r="BN2" s="73" t="s">
        <v>176</v>
      </c>
      <c r="BO2" s="73" t="s">
        <v>177</v>
      </c>
      <c r="BP2" s="73" t="s">
        <v>178</v>
      </c>
      <c r="BQ2" s="73" t="s">
        <v>179</v>
      </c>
      <c r="BR2" s="73" t="s">
        <v>180</v>
      </c>
      <c r="BS2" s="73" t="s">
        <v>181</v>
      </c>
      <c r="BT2" s="73" t="s">
        <v>182</v>
      </c>
      <c r="BU2" s="73" t="s">
        <v>183</v>
      </c>
      <c r="BV2" s="73" t="s">
        <v>184</v>
      </c>
      <c r="BW2" s="73" t="s">
        <v>185</v>
      </c>
      <c r="BX2" s="73" t="s">
        <v>186</v>
      </c>
      <c r="BY2" s="73" t="s">
        <v>187</v>
      </c>
      <c r="BZ2" s="73" t="s">
        <v>188</v>
      </c>
      <c r="CA2" s="73" t="s">
        <v>189</v>
      </c>
      <c r="CB2" s="73" t="s">
        <v>190</v>
      </c>
      <c r="CC2" s="73" t="s">
        <v>288</v>
      </c>
      <c r="CD2" s="73" t="s">
        <v>192</v>
      </c>
      <c r="CE2" s="73" t="s">
        <v>193</v>
      </c>
      <c r="CF2" s="73" t="s">
        <v>194</v>
      </c>
      <c r="CG2" s="73" t="s">
        <v>195</v>
      </c>
      <c r="CH2" s="73" t="s">
        <v>196</v>
      </c>
      <c r="CI2" s="73" t="s">
        <v>197</v>
      </c>
      <c r="CJ2" s="73" t="s">
        <v>198</v>
      </c>
      <c r="CK2" s="73" t="s">
        <v>199</v>
      </c>
      <c r="CL2" s="73" t="s">
        <v>200</v>
      </c>
      <c r="CM2" s="73" t="s">
        <v>201</v>
      </c>
      <c r="CN2" s="73" t="s">
        <v>202</v>
      </c>
      <c r="CO2" s="73" t="s">
        <v>203</v>
      </c>
      <c r="CP2" s="73" t="s">
        <v>204</v>
      </c>
      <c r="CQ2" s="73" t="s">
        <v>205</v>
      </c>
      <c r="CR2" s="73" t="s">
        <v>206</v>
      </c>
      <c r="CS2" s="73" t="s">
        <v>207</v>
      </c>
      <c r="CT2" s="73" t="s">
        <v>208</v>
      </c>
      <c r="CU2" s="73" t="s">
        <v>209</v>
      </c>
      <c r="CV2" s="73" t="s">
        <v>210</v>
      </c>
      <c r="CW2" s="73" t="s">
        <v>211</v>
      </c>
      <c r="CX2" s="73" t="s">
        <v>212</v>
      </c>
      <c r="CY2" s="73" t="s">
        <v>213</v>
      </c>
      <c r="CZ2" s="73" t="s">
        <v>214</v>
      </c>
      <c r="DA2" s="73" t="s">
        <v>215</v>
      </c>
      <c r="DB2" s="73" t="s">
        <v>216</v>
      </c>
      <c r="DC2" s="73" t="s">
        <v>217</v>
      </c>
      <c r="DD2" s="73" t="s">
        <v>218</v>
      </c>
      <c r="DE2" s="73" t="s">
        <v>219</v>
      </c>
      <c r="DF2" s="73" t="s">
        <v>220</v>
      </c>
      <c r="DG2" s="73" t="s">
        <v>221</v>
      </c>
      <c r="DH2" s="73" t="s">
        <v>222</v>
      </c>
      <c r="DI2" s="73" t="s">
        <v>223</v>
      </c>
      <c r="DJ2" s="73" t="s">
        <v>224</v>
      </c>
      <c r="DK2" s="73" t="s">
        <v>225</v>
      </c>
      <c r="DL2" s="73" t="s">
        <v>226</v>
      </c>
      <c r="DM2" s="73" t="s">
        <v>227</v>
      </c>
      <c r="DN2" s="73" t="s">
        <v>228</v>
      </c>
      <c r="DO2" s="74" t="s">
        <v>229</v>
      </c>
      <c r="DP2" s="63" t="s">
        <v>230</v>
      </c>
      <c r="DQ2" s="63" t="s">
        <v>231</v>
      </c>
      <c r="DR2" s="63" t="s">
        <v>232</v>
      </c>
      <c r="DS2" s="63" t="s">
        <v>233</v>
      </c>
      <c r="DT2" s="63" t="s">
        <v>234</v>
      </c>
      <c r="EA2" s="63" t="s">
        <v>289</v>
      </c>
      <c r="EB2" s="63" t="s">
        <v>236</v>
      </c>
      <c r="EC2" s="63" t="s">
        <v>235</v>
      </c>
      <c r="ED2" s="63" t="s">
        <v>240</v>
      </c>
      <c r="EE2" s="63" t="s">
        <v>237</v>
      </c>
      <c r="EF2" s="63" t="s">
        <v>239</v>
      </c>
      <c r="EG2" s="63" t="s">
        <v>238</v>
      </c>
    </row>
    <row r="3" spans="1:137">
      <c r="A3" s="57" t="s">
        <v>92</v>
      </c>
      <c r="B3" s="68">
        <v>217890167.97</v>
      </c>
      <c r="C3" s="68">
        <v>13138122.84</v>
      </c>
      <c r="D3" s="68">
        <v>7657200</v>
      </c>
      <c r="E3" s="68">
        <v>1635763.19</v>
      </c>
      <c r="F3" s="68">
        <v>3608992.18</v>
      </c>
      <c r="G3" s="68">
        <v>4340769.26</v>
      </c>
      <c r="H3" s="68">
        <v>1390440.81</v>
      </c>
      <c r="I3" s="68">
        <v>2568766.98</v>
      </c>
      <c r="J3" s="68">
        <v>0</v>
      </c>
      <c r="K3" s="68">
        <v>432396.68</v>
      </c>
      <c r="L3" s="68">
        <v>1683098.92</v>
      </c>
      <c r="M3" s="68">
        <v>2347928.61</v>
      </c>
      <c r="N3" s="68">
        <v>2223446.24</v>
      </c>
      <c r="O3" s="68">
        <v>4386746.93</v>
      </c>
      <c r="P3" s="68">
        <v>3774840.4</v>
      </c>
      <c r="Q3" s="68">
        <v>7905398.15</v>
      </c>
      <c r="R3" s="68">
        <v>1124723.88</v>
      </c>
      <c r="S3" s="68">
        <v>525132.51</v>
      </c>
      <c r="T3" s="68">
        <v>36980</v>
      </c>
      <c r="U3" s="68">
        <v>0</v>
      </c>
      <c r="V3" s="68">
        <v>0</v>
      </c>
      <c r="W3" s="68">
        <v>13512627.44</v>
      </c>
      <c r="X3" s="68">
        <v>28332616.16</v>
      </c>
      <c r="Y3" s="68">
        <v>9706072.18</v>
      </c>
      <c r="Z3" s="68">
        <v>6750937.47</v>
      </c>
      <c r="AA3" s="68">
        <v>3369570.32</v>
      </c>
      <c r="AB3" s="68">
        <v>1550607.58</v>
      </c>
      <c r="AC3" s="68">
        <v>0</v>
      </c>
      <c r="AD3" s="68">
        <v>4181867.1</v>
      </c>
      <c r="AE3" s="68">
        <v>91705122.14</v>
      </c>
      <c r="AF3" s="68">
        <v>1755219.19</v>
      </c>
      <c r="AG3" s="68">
        <v>1015467.25</v>
      </c>
      <c r="AH3" s="68">
        <v>1814263.33</v>
      </c>
      <c r="AI3" s="68">
        <v>3922725.55</v>
      </c>
      <c r="AJ3" s="68">
        <v>2283062.53</v>
      </c>
      <c r="AK3" s="68">
        <v>2033546.69</v>
      </c>
      <c r="AL3" s="68">
        <v>688342.9</v>
      </c>
      <c r="AM3" s="68">
        <v>3269931.81</v>
      </c>
      <c r="AN3" s="68">
        <v>7778434.88</v>
      </c>
      <c r="AO3" s="68">
        <v>10245595.73</v>
      </c>
      <c r="AP3" s="68">
        <v>4409512.79</v>
      </c>
      <c r="AQ3" s="68">
        <v>1603504.62</v>
      </c>
      <c r="AR3" s="68">
        <v>705953.92</v>
      </c>
      <c r="AS3" s="68">
        <v>319682.41</v>
      </c>
      <c r="AT3" s="68">
        <v>0</v>
      </c>
      <c r="AU3" s="68">
        <v>3050692.02</v>
      </c>
      <c r="AV3" s="68">
        <v>2681176.74</v>
      </c>
      <c r="AW3" s="68">
        <v>2424178.19</v>
      </c>
      <c r="AX3" s="68">
        <v>1550025.23</v>
      </c>
      <c r="AY3" s="68">
        <v>2558601.84</v>
      </c>
      <c r="AZ3" s="68">
        <v>810968.48</v>
      </c>
      <c r="BA3" s="68">
        <v>2619918.01</v>
      </c>
      <c r="BB3" s="68">
        <v>3140393.1</v>
      </c>
      <c r="BC3" s="68">
        <v>2308744.95</v>
      </c>
      <c r="BD3" s="68">
        <v>2896058.41</v>
      </c>
      <c r="BE3" s="68">
        <v>0</v>
      </c>
      <c r="BF3" s="68">
        <v>80740007.67</v>
      </c>
      <c r="BG3" s="68">
        <v>3556651.98</v>
      </c>
      <c r="BH3" s="68">
        <v>3723454.53</v>
      </c>
      <c r="BI3" s="68">
        <v>4637374.2</v>
      </c>
      <c r="BJ3" s="68">
        <v>3169618.51</v>
      </c>
      <c r="BK3" s="68">
        <v>3483529.63</v>
      </c>
      <c r="BL3" s="68">
        <v>3657509.74</v>
      </c>
      <c r="BM3" s="68">
        <v>1462005.89</v>
      </c>
      <c r="BN3" s="68">
        <v>3628337.34</v>
      </c>
      <c r="BO3" s="68">
        <v>1769137.86</v>
      </c>
      <c r="BP3" s="68">
        <v>1535723.52</v>
      </c>
      <c r="BQ3" s="68">
        <v>3801025.41</v>
      </c>
      <c r="BR3" s="68">
        <v>2193656.88</v>
      </c>
      <c r="BS3" s="68">
        <v>3017049.92</v>
      </c>
      <c r="BT3" s="68">
        <v>2052079.07</v>
      </c>
      <c r="BU3" s="68">
        <v>1577085.95</v>
      </c>
      <c r="BV3" s="68">
        <v>1704869.15</v>
      </c>
      <c r="BW3" s="68">
        <v>1859333.9</v>
      </c>
      <c r="BX3" s="68">
        <v>2032562.75</v>
      </c>
      <c r="BY3" s="68">
        <v>1110974.16</v>
      </c>
      <c r="BZ3" s="68">
        <v>1370717.06</v>
      </c>
      <c r="CA3" s="68">
        <v>1580177.89</v>
      </c>
      <c r="CB3" s="68">
        <v>1910177.35</v>
      </c>
      <c r="CC3" s="68">
        <v>625409.32</v>
      </c>
      <c r="CD3" s="68">
        <v>792832.4</v>
      </c>
      <c r="CE3" s="68">
        <v>638695.87</v>
      </c>
      <c r="CF3" s="68">
        <v>942858.92</v>
      </c>
      <c r="CG3" s="68">
        <v>839742.84</v>
      </c>
      <c r="CH3" s="68">
        <v>1154942.13</v>
      </c>
      <c r="CI3" s="68">
        <v>732773.88</v>
      </c>
      <c r="CJ3" s="68">
        <v>1495921.75</v>
      </c>
      <c r="CK3" s="68">
        <v>290284.46</v>
      </c>
      <c r="CL3" s="68">
        <v>672678.07</v>
      </c>
      <c r="CM3" s="68">
        <v>316863.16</v>
      </c>
      <c r="CN3" s="68">
        <v>449439.89</v>
      </c>
      <c r="CO3" s="68">
        <v>678127.49</v>
      </c>
      <c r="CP3" s="68">
        <v>1178627.91</v>
      </c>
      <c r="CQ3" s="68">
        <v>758756.61</v>
      </c>
      <c r="CR3" s="68">
        <v>497317.32</v>
      </c>
      <c r="CS3" s="68">
        <v>380958.68</v>
      </c>
      <c r="CT3" s="68">
        <v>248535.68</v>
      </c>
      <c r="CU3" s="68">
        <v>429863.32</v>
      </c>
      <c r="CV3" s="68">
        <v>323102.47</v>
      </c>
      <c r="CW3" s="68">
        <v>810689.32</v>
      </c>
      <c r="CX3" s="68">
        <v>453150.19</v>
      </c>
      <c r="CY3" s="68">
        <v>710454.7</v>
      </c>
      <c r="CZ3" s="68">
        <v>406912.75</v>
      </c>
      <c r="DA3" s="68">
        <v>492380.85</v>
      </c>
      <c r="DB3" s="68">
        <v>399723.1</v>
      </c>
      <c r="DC3" s="68">
        <v>634809.78</v>
      </c>
      <c r="DD3" s="68">
        <v>411173.66</v>
      </c>
      <c r="DE3" s="68">
        <v>549901.42</v>
      </c>
      <c r="DF3" s="68">
        <v>389232.84</v>
      </c>
      <c r="DG3" s="68">
        <v>377116.78</v>
      </c>
      <c r="DH3" s="68">
        <v>355882.21</v>
      </c>
      <c r="DI3" s="68">
        <v>261513.2</v>
      </c>
      <c r="DJ3" s="68">
        <v>362541.91</v>
      </c>
      <c r="DK3" s="68">
        <v>468893.3</v>
      </c>
      <c r="DL3" s="68">
        <v>323124.04</v>
      </c>
      <c r="DM3" s="68">
        <v>538762.99</v>
      </c>
      <c r="DN3" s="68">
        <v>610476.86</v>
      </c>
      <c r="DO3" s="68">
        <v>1102361.2</v>
      </c>
      <c r="DP3" s="68">
        <v>921145.06</v>
      </c>
      <c r="DQ3" s="68">
        <v>478913.01</v>
      </c>
      <c r="DR3" s="68">
        <v>284734.67</v>
      </c>
      <c r="DS3" s="68">
        <v>701956.97</v>
      </c>
      <c r="DT3" s="68">
        <v>413372</v>
      </c>
      <c r="DU3" s="68">
        <v>0</v>
      </c>
      <c r="DV3" s="68"/>
      <c r="DW3" s="68"/>
      <c r="DX3" s="68"/>
      <c r="DY3" s="68"/>
      <c r="DZ3" s="68"/>
      <c r="EA3" s="63">
        <v>-91705122.14</v>
      </c>
      <c r="EB3" s="63">
        <f t="shared" ref="EB3:EB34" si="0">SUM(AZ3:BE3)-AD3</f>
        <v>7594215.85</v>
      </c>
      <c r="EC3" s="63">
        <f>SUM(BF3:DS3)-BE3</f>
        <v>161066643.34</v>
      </c>
      <c r="ED3" s="63">
        <f t="shared" ref="ED3:ED34" si="1">SUM(AE3:AK3)-V3</f>
        <v>104529406.68</v>
      </c>
      <c r="EE3" s="63">
        <f t="shared" ref="EE3:EE52" si="2">AX3+AY3-Z3</f>
        <v>-2642310.4</v>
      </c>
      <c r="EF3" s="63">
        <f>SUM(AL3:AS3)-W3</f>
        <v>15508331.62</v>
      </c>
      <c r="EG3" s="63">
        <f>AU3+AV3+AW3+AT3-X3</f>
        <v>-20176569.21</v>
      </c>
    </row>
    <row r="4" spans="1:137">
      <c r="A4" s="57" t="s">
        <v>93</v>
      </c>
      <c r="B4" s="68">
        <v>3757415.06</v>
      </c>
      <c r="C4" s="68">
        <v>84775.3</v>
      </c>
      <c r="D4" s="68">
        <v>13280</v>
      </c>
      <c r="E4" s="68">
        <v>40603.1</v>
      </c>
      <c r="F4" s="68">
        <v>171032.74</v>
      </c>
      <c r="G4" s="68">
        <v>182219.89</v>
      </c>
      <c r="H4" s="68">
        <v>38070</v>
      </c>
      <c r="I4" s="68">
        <v>57104.28</v>
      </c>
      <c r="J4" s="68">
        <v>0</v>
      </c>
      <c r="K4" s="68">
        <v>14995</v>
      </c>
      <c r="L4" s="68">
        <v>80751.2</v>
      </c>
      <c r="M4" s="68">
        <v>67755.22</v>
      </c>
      <c r="N4" s="68">
        <v>45225.62</v>
      </c>
      <c r="O4" s="68">
        <v>140234.84</v>
      </c>
      <c r="P4" s="68">
        <v>110612.27</v>
      </c>
      <c r="Q4" s="68">
        <v>85438.9</v>
      </c>
      <c r="R4" s="68">
        <v>30476.48</v>
      </c>
      <c r="S4" s="68">
        <v>16924.1</v>
      </c>
      <c r="T4" s="68">
        <v>0</v>
      </c>
      <c r="U4" s="68">
        <v>0</v>
      </c>
      <c r="V4" s="68">
        <v>0</v>
      </c>
      <c r="W4" s="68">
        <v>104253.03</v>
      </c>
      <c r="X4" s="68">
        <v>665139.66</v>
      </c>
      <c r="Y4" s="68">
        <v>176900.92</v>
      </c>
      <c r="Z4" s="68">
        <v>44390.82</v>
      </c>
      <c r="AA4" s="68">
        <v>21750.96</v>
      </c>
      <c r="AB4" s="68">
        <v>8893.4</v>
      </c>
      <c r="AC4" s="68">
        <v>0</v>
      </c>
      <c r="AD4" s="68">
        <v>157970</v>
      </c>
      <c r="AE4" s="68">
        <v>1398617.33</v>
      </c>
      <c r="AF4" s="68">
        <v>49480.9</v>
      </c>
      <c r="AG4" s="68">
        <v>6530</v>
      </c>
      <c r="AH4" s="68">
        <v>3395</v>
      </c>
      <c r="AI4" s="68">
        <v>25482.6</v>
      </c>
      <c r="AJ4" s="68">
        <v>3150.86</v>
      </c>
      <c r="AK4" s="68">
        <v>14583.67</v>
      </c>
      <c r="AL4" s="68">
        <v>1630</v>
      </c>
      <c r="AM4" s="68">
        <v>171639.86</v>
      </c>
      <c r="AN4" s="68">
        <v>239563.96</v>
      </c>
      <c r="AO4" s="68">
        <v>117394.12</v>
      </c>
      <c r="AP4" s="68">
        <v>115643.41</v>
      </c>
      <c r="AQ4" s="68">
        <v>20742.12</v>
      </c>
      <c r="AR4" s="68">
        <v>0</v>
      </c>
      <c r="AS4" s="68">
        <v>156.19</v>
      </c>
      <c r="AT4" s="68">
        <v>0</v>
      </c>
      <c r="AU4" s="68">
        <v>5262.42</v>
      </c>
      <c r="AV4" s="68">
        <v>103225.74</v>
      </c>
      <c r="AW4" s="68">
        <v>64107.08</v>
      </c>
      <c r="AX4" s="68">
        <v>4305.68</v>
      </c>
      <c r="AY4" s="68">
        <v>18225.96</v>
      </c>
      <c r="AZ4" s="68">
        <v>3525</v>
      </c>
      <c r="BA4" s="68">
        <v>47125.2</v>
      </c>
      <c r="BB4" s="68">
        <v>80447.5</v>
      </c>
      <c r="BC4" s="68">
        <v>43216</v>
      </c>
      <c r="BD4" s="68">
        <v>66077.92</v>
      </c>
      <c r="BE4" s="68">
        <v>0</v>
      </c>
      <c r="BF4" s="68">
        <v>1161750.71</v>
      </c>
      <c r="BG4" s="68">
        <v>59130.5</v>
      </c>
      <c r="BH4" s="68">
        <v>64609.4</v>
      </c>
      <c r="BI4" s="68">
        <v>34791.87</v>
      </c>
      <c r="BJ4" s="68">
        <v>51485.49</v>
      </c>
      <c r="BK4" s="68">
        <v>49611.75</v>
      </c>
      <c r="BL4" s="68">
        <v>64594.38</v>
      </c>
      <c r="BM4" s="68">
        <v>24326.42</v>
      </c>
      <c r="BN4" s="68">
        <v>36847.06</v>
      </c>
      <c r="BO4" s="68">
        <v>23551.85</v>
      </c>
      <c r="BP4" s="68">
        <v>19064.2</v>
      </c>
      <c r="BQ4" s="68">
        <v>49510.93</v>
      </c>
      <c r="BR4" s="68">
        <v>33172.3</v>
      </c>
      <c r="BS4" s="68">
        <v>42508.5</v>
      </c>
      <c r="BT4" s="68">
        <v>13928.35</v>
      </c>
      <c r="BU4" s="68">
        <v>21172.59</v>
      </c>
      <c r="BV4" s="68">
        <v>29981.9</v>
      </c>
      <c r="BW4" s="68">
        <v>27900.19</v>
      </c>
      <c r="BX4" s="68">
        <v>30829.28</v>
      </c>
      <c r="BY4" s="68">
        <v>3830</v>
      </c>
      <c r="BZ4" s="68">
        <v>25163.26</v>
      </c>
      <c r="CA4" s="68">
        <v>6885</v>
      </c>
      <c r="CB4" s="68">
        <v>32768.96</v>
      </c>
      <c r="CC4" s="68">
        <v>4569.67</v>
      </c>
      <c r="CD4" s="68">
        <v>12910.52</v>
      </c>
      <c r="CE4" s="68">
        <v>7560</v>
      </c>
      <c r="CF4" s="68">
        <v>19010.4</v>
      </c>
      <c r="CG4" s="68">
        <v>15640</v>
      </c>
      <c r="CH4" s="68">
        <v>23330</v>
      </c>
      <c r="CI4" s="68">
        <v>9920</v>
      </c>
      <c r="CJ4" s="68">
        <v>90338.82</v>
      </c>
      <c r="CK4" s="68">
        <v>7676.38</v>
      </c>
      <c r="CL4" s="68">
        <v>8711.23</v>
      </c>
      <c r="CM4" s="68">
        <v>5219.37</v>
      </c>
      <c r="CN4" s="68">
        <v>13120.23</v>
      </c>
      <c r="CO4" s="68">
        <v>9824.73</v>
      </c>
      <c r="CP4" s="68">
        <v>17658.96</v>
      </c>
      <c r="CQ4" s="68">
        <v>10010.11</v>
      </c>
      <c r="CR4" s="68">
        <v>3988.44</v>
      </c>
      <c r="CS4" s="68">
        <v>4773.41</v>
      </c>
      <c r="CT4" s="68">
        <v>2892.4</v>
      </c>
      <c r="CU4" s="68">
        <v>1595</v>
      </c>
      <c r="CV4" s="68">
        <v>3772.35</v>
      </c>
      <c r="CW4" s="68">
        <v>3803.32</v>
      </c>
      <c r="CX4" s="68">
        <v>9024.67</v>
      </c>
      <c r="CY4" s="68">
        <v>9845.61</v>
      </c>
      <c r="CZ4" s="68">
        <v>6732.04</v>
      </c>
      <c r="DA4" s="68">
        <v>7926.88</v>
      </c>
      <c r="DB4" s="68">
        <v>5225.55</v>
      </c>
      <c r="DC4" s="68">
        <v>8328.02</v>
      </c>
      <c r="DD4" s="68">
        <v>0</v>
      </c>
      <c r="DE4" s="68">
        <v>8407.39</v>
      </c>
      <c r="DF4" s="68">
        <v>4040</v>
      </c>
      <c r="DG4" s="68">
        <v>6046.41</v>
      </c>
      <c r="DH4" s="68">
        <v>650.52</v>
      </c>
      <c r="DI4" s="68">
        <v>4167.43</v>
      </c>
      <c r="DJ4" s="68">
        <v>1120</v>
      </c>
      <c r="DK4" s="68">
        <v>8531.25</v>
      </c>
      <c r="DL4" s="68">
        <v>1632.08</v>
      </c>
      <c r="DM4" s="68">
        <v>2208.72</v>
      </c>
      <c r="DN4" s="68">
        <v>8565.21</v>
      </c>
      <c r="DO4" s="68">
        <v>15516.26</v>
      </c>
      <c r="DP4" s="68">
        <v>10633.99</v>
      </c>
      <c r="DQ4" s="68">
        <v>6780.43</v>
      </c>
      <c r="DR4" s="68">
        <v>2965</v>
      </c>
      <c r="DS4" s="68">
        <v>7674.4</v>
      </c>
      <c r="DT4" s="68">
        <v>3739.33</v>
      </c>
      <c r="DU4" s="68">
        <v>0</v>
      </c>
      <c r="DV4" s="68"/>
      <c r="DW4" s="68"/>
      <c r="DX4" s="68"/>
      <c r="DY4" s="68"/>
      <c r="DZ4" s="68"/>
      <c r="EA4" s="63">
        <v>-1398617.33</v>
      </c>
      <c r="EB4" s="63">
        <f t="shared" si="0"/>
        <v>82421.62</v>
      </c>
      <c r="EC4" s="63">
        <f t="shared" ref="EC4:EC52" si="3">SUM(BF4:DS4)-BE4</f>
        <v>2319762.09</v>
      </c>
      <c r="ED4" s="63">
        <f t="shared" si="1"/>
        <v>1501240.36</v>
      </c>
      <c r="EE4" s="63">
        <f t="shared" si="2"/>
        <v>-21859.18</v>
      </c>
      <c r="EF4" s="63">
        <f t="shared" ref="EF4:EF52" si="4">SUM(AL4:AS4)-W4</f>
        <v>562516.63</v>
      </c>
      <c r="EG4" s="63">
        <f t="shared" ref="EG4:EG54" si="5">AU4+AV4+AW4+AT4-X4</f>
        <v>-492544.42</v>
      </c>
    </row>
    <row r="5" spans="1:137">
      <c r="A5" s="57" t="s">
        <v>94</v>
      </c>
      <c r="B5" s="68">
        <v>7031409.1</v>
      </c>
      <c r="C5" s="68">
        <v>263415.26</v>
      </c>
      <c r="D5" s="68">
        <v>-183794.89</v>
      </c>
      <c r="E5" s="68">
        <v>33069.27</v>
      </c>
      <c r="F5" s="68">
        <v>73394.61</v>
      </c>
      <c r="G5" s="68">
        <v>87557.01</v>
      </c>
      <c r="H5" s="68">
        <v>28158.03</v>
      </c>
      <c r="I5" s="68">
        <v>51715.35</v>
      </c>
      <c r="J5" s="68">
        <v>0</v>
      </c>
      <c r="K5" s="68">
        <v>8714.34</v>
      </c>
      <c r="L5" s="68">
        <v>33864.78</v>
      </c>
      <c r="M5" s="68">
        <v>47127.39</v>
      </c>
      <c r="N5" s="68">
        <v>44768.91</v>
      </c>
      <c r="O5" s="68">
        <v>88502.54</v>
      </c>
      <c r="P5" s="68">
        <v>76178.4</v>
      </c>
      <c r="Q5" s="68">
        <v>162375.97</v>
      </c>
      <c r="R5" s="68">
        <v>22634.87</v>
      </c>
      <c r="S5" s="68">
        <v>10502.66</v>
      </c>
      <c r="T5" s="68">
        <v>748</v>
      </c>
      <c r="U5" s="68">
        <v>0</v>
      </c>
      <c r="V5" s="68">
        <v>0</v>
      </c>
      <c r="W5" s="68">
        <v>274052.17</v>
      </c>
      <c r="X5" s="68">
        <v>2114231.37</v>
      </c>
      <c r="Y5" s="68">
        <v>231121.44</v>
      </c>
      <c r="Z5" s="68">
        <v>142712.08</v>
      </c>
      <c r="AA5" s="68">
        <v>68802.19</v>
      </c>
      <c r="AB5" s="68">
        <v>31688.49</v>
      </c>
      <c r="AC5" s="68">
        <v>0</v>
      </c>
      <c r="AD5" s="68">
        <v>85744.68</v>
      </c>
      <c r="AE5" s="68">
        <v>3234124.18</v>
      </c>
      <c r="AF5" s="68">
        <v>35499.23</v>
      </c>
      <c r="AG5" s="68">
        <v>20154.92</v>
      </c>
      <c r="AH5" s="68">
        <v>37101.28</v>
      </c>
      <c r="AI5" s="68">
        <v>79604.52</v>
      </c>
      <c r="AJ5" s="68">
        <v>46397.65</v>
      </c>
      <c r="AK5" s="68">
        <v>41300.92</v>
      </c>
      <c r="AL5" s="68">
        <v>13993.65</v>
      </c>
      <c r="AM5" s="68">
        <v>65398.64</v>
      </c>
      <c r="AN5" s="68">
        <v>1544941.18</v>
      </c>
      <c r="AO5" s="68">
        <v>326563.75</v>
      </c>
      <c r="AP5" s="68">
        <v>119520.69</v>
      </c>
      <c r="AQ5" s="68">
        <v>37294.39</v>
      </c>
      <c r="AR5" s="68">
        <v>14119.08</v>
      </c>
      <c r="AS5" s="68">
        <v>6393.64</v>
      </c>
      <c r="AT5" s="68">
        <v>0</v>
      </c>
      <c r="AU5" s="68">
        <v>62014.09</v>
      </c>
      <c r="AV5" s="68">
        <v>88786.08</v>
      </c>
      <c r="AW5" s="68">
        <v>48735.97</v>
      </c>
      <c r="AX5" s="68">
        <v>31585.3</v>
      </c>
      <c r="AY5" s="68">
        <v>52028.82</v>
      </c>
      <c r="AZ5" s="68">
        <v>16773.37</v>
      </c>
      <c r="BA5" s="68">
        <v>56634.12</v>
      </c>
      <c r="BB5" s="68">
        <v>79842.73</v>
      </c>
      <c r="BC5" s="68">
        <v>65127.97</v>
      </c>
      <c r="BD5" s="68">
        <v>58553.01</v>
      </c>
      <c r="BE5" s="68">
        <v>0</v>
      </c>
      <c r="BF5" s="68">
        <v>2973966.35</v>
      </c>
      <c r="BG5" s="68">
        <v>127027.39</v>
      </c>
      <c r="BH5" s="68">
        <v>191141.18</v>
      </c>
      <c r="BI5" s="68">
        <v>173654.8</v>
      </c>
      <c r="BJ5" s="68">
        <v>143387.15</v>
      </c>
      <c r="BK5" s="68">
        <v>145291.56</v>
      </c>
      <c r="BL5" s="68">
        <v>131772.72</v>
      </c>
      <c r="BM5" s="68">
        <v>55155.21</v>
      </c>
      <c r="BN5" s="68">
        <v>158963.99</v>
      </c>
      <c r="BO5" s="68">
        <v>50035.82</v>
      </c>
      <c r="BP5" s="68">
        <v>46553.67</v>
      </c>
      <c r="BQ5" s="68">
        <v>152891.57</v>
      </c>
      <c r="BR5" s="68">
        <v>95666.52</v>
      </c>
      <c r="BS5" s="68">
        <v>106829.07</v>
      </c>
      <c r="BT5" s="68">
        <v>96763.89</v>
      </c>
      <c r="BU5" s="68">
        <v>46743.58</v>
      </c>
      <c r="BV5" s="68">
        <v>54908.04</v>
      </c>
      <c r="BW5" s="68">
        <v>78521.04</v>
      </c>
      <c r="BX5" s="68">
        <v>68772.19</v>
      </c>
      <c r="BY5" s="68">
        <v>36777.49</v>
      </c>
      <c r="BZ5" s="68">
        <v>41639.86</v>
      </c>
      <c r="CA5" s="68">
        <v>51639.29</v>
      </c>
      <c r="CB5" s="68">
        <v>61687.87</v>
      </c>
      <c r="CC5" s="68">
        <v>18439.3</v>
      </c>
      <c r="CD5" s="68">
        <v>30849.38</v>
      </c>
      <c r="CE5" s="68">
        <v>18791.95</v>
      </c>
      <c r="CF5" s="68">
        <v>41421.95</v>
      </c>
      <c r="CG5" s="68">
        <v>25294.92</v>
      </c>
      <c r="CH5" s="68">
        <v>38572.55</v>
      </c>
      <c r="CI5" s="68">
        <v>26181.84</v>
      </c>
      <c r="CJ5" s="68">
        <v>64367.49</v>
      </c>
      <c r="CK5" s="68">
        <v>13569.59</v>
      </c>
      <c r="CL5" s="68">
        <v>23132.05</v>
      </c>
      <c r="CM5" s="68">
        <v>10106.66</v>
      </c>
      <c r="CN5" s="68">
        <v>15270.64</v>
      </c>
      <c r="CO5" s="68">
        <v>20468.99</v>
      </c>
      <c r="CP5" s="68">
        <v>47923.43</v>
      </c>
      <c r="CQ5" s="68">
        <v>45672.74</v>
      </c>
      <c r="CR5" s="68">
        <v>14833.21</v>
      </c>
      <c r="CS5" s="68">
        <v>10151.23</v>
      </c>
      <c r="CT5" s="68">
        <v>14921.73</v>
      </c>
      <c r="CU5" s="68">
        <v>12003.67</v>
      </c>
      <c r="CV5" s="68">
        <v>11056.29</v>
      </c>
      <c r="CW5" s="68">
        <v>20277.14</v>
      </c>
      <c r="CX5" s="68">
        <v>13193.9</v>
      </c>
      <c r="CY5" s="68">
        <v>17951.51</v>
      </c>
      <c r="CZ5" s="68">
        <v>12863.47</v>
      </c>
      <c r="DA5" s="68">
        <v>12554.81</v>
      </c>
      <c r="DB5" s="68">
        <v>10761.73</v>
      </c>
      <c r="DC5" s="68">
        <v>16473.26</v>
      </c>
      <c r="DD5" s="68">
        <v>11152.94</v>
      </c>
      <c r="DE5" s="68">
        <v>14944.51</v>
      </c>
      <c r="DF5" s="68">
        <v>11829.43</v>
      </c>
      <c r="DG5" s="68">
        <v>10912.81</v>
      </c>
      <c r="DH5" s="68">
        <v>12597.42</v>
      </c>
      <c r="DI5" s="68">
        <v>7259.89</v>
      </c>
      <c r="DJ5" s="68">
        <v>9087.82</v>
      </c>
      <c r="DK5" s="68">
        <v>15177.87</v>
      </c>
      <c r="DL5" s="68">
        <v>8749.32</v>
      </c>
      <c r="DM5" s="68">
        <v>14005.51</v>
      </c>
      <c r="DN5" s="68">
        <v>22764.57</v>
      </c>
      <c r="DO5" s="68">
        <v>40429.67</v>
      </c>
      <c r="DP5" s="68">
        <v>23860.55</v>
      </c>
      <c r="DQ5" s="68">
        <v>11677.1</v>
      </c>
      <c r="DR5" s="68">
        <v>7358.33</v>
      </c>
      <c r="DS5" s="68">
        <v>18091.98</v>
      </c>
      <c r="DT5" s="68">
        <v>11137.3</v>
      </c>
      <c r="DU5" s="68">
        <v>0</v>
      </c>
      <c r="DV5" s="68"/>
      <c r="DW5" s="68"/>
      <c r="DX5" s="68"/>
      <c r="DY5" s="68"/>
      <c r="DZ5" s="68"/>
      <c r="EA5" s="63">
        <v>-3234124.18</v>
      </c>
      <c r="EB5" s="63">
        <f t="shared" si="0"/>
        <v>191186.52</v>
      </c>
      <c r="EC5" s="63">
        <f t="shared" si="3"/>
        <v>5936795.4</v>
      </c>
      <c r="ED5" s="63">
        <f t="shared" si="1"/>
        <v>3494182.7</v>
      </c>
      <c r="EE5" s="63">
        <f t="shared" si="2"/>
        <v>-59097.96</v>
      </c>
      <c r="EF5" s="63">
        <f t="shared" si="4"/>
        <v>1854172.85</v>
      </c>
      <c r="EG5" s="63">
        <f t="shared" si="5"/>
        <v>-1914695.23</v>
      </c>
    </row>
    <row r="6" spans="1:137">
      <c r="A6" s="57" t="s">
        <v>95</v>
      </c>
      <c r="B6" s="68">
        <v>5248245.9</v>
      </c>
      <c r="C6" s="68">
        <v>0</v>
      </c>
      <c r="D6" s="68">
        <v>673655.38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242303.71</v>
      </c>
      <c r="X6" s="68">
        <v>1597134.01</v>
      </c>
      <c r="Y6" s="68">
        <v>181801.84</v>
      </c>
      <c r="Z6" s="68">
        <v>107034.06</v>
      </c>
      <c r="AA6" s="68">
        <v>51601.66</v>
      </c>
      <c r="AB6" s="68">
        <v>29611.97</v>
      </c>
      <c r="AC6" s="68">
        <v>0</v>
      </c>
      <c r="AD6" s="68">
        <v>75427.14</v>
      </c>
      <c r="AE6" s="68">
        <v>2289676.13</v>
      </c>
      <c r="AF6" s="68">
        <v>26624.39</v>
      </c>
      <c r="AG6" s="68">
        <v>23540</v>
      </c>
      <c r="AH6" s="68">
        <v>51628.35</v>
      </c>
      <c r="AI6" s="68">
        <v>59703.38</v>
      </c>
      <c r="AJ6" s="68">
        <v>34798.24</v>
      </c>
      <c r="AK6" s="68">
        <v>30975.7</v>
      </c>
      <c r="AL6" s="68">
        <v>15033.65</v>
      </c>
      <c r="AM6" s="68">
        <v>60370.62</v>
      </c>
      <c r="AN6" s="68">
        <v>1158705.88</v>
      </c>
      <c r="AO6" s="68">
        <v>244922.81</v>
      </c>
      <c r="AP6" s="68">
        <v>89779.36</v>
      </c>
      <c r="AQ6" s="68">
        <v>27970.79</v>
      </c>
      <c r="AR6" s="68">
        <v>10589.31</v>
      </c>
      <c r="AS6" s="68">
        <v>4795.24</v>
      </c>
      <c r="AT6" s="68">
        <v>0</v>
      </c>
      <c r="AU6" s="68">
        <v>46510.58</v>
      </c>
      <c r="AV6" s="68">
        <v>66589.56</v>
      </c>
      <c r="AW6" s="68">
        <v>36551.97</v>
      </c>
      <c r="AX6" s="68">
        <v>32149.73</v>
      </c>
      <c r="AY6" s="68">
        <v>39021.63</v>
      </c>
      <c r="AZ6" s="68">
        <v>12580.03</v>
      </c>
      <c r="BA6" s="68">
        <v>218115.84</v>
      </c>
      <c r="BB6" s="68">
        <v>59882.04</v>
      </c>
      <c r="BC6" s="68">
        <v>48845.97</v>
      </c>
      <c r="BD6" s="68">
        <v>52250.56</v>
      </c>
      <c r="BE6" s="68">
        <v>0</v>
      </c>
      <c r="BF6" s="68">
        <v>1910581.72</v>
      </c>
      <c r="BG6" s="68">
        <v>78072.86</v>
      </c>
      <c r="BH6" s="68">
        <v>107660.32</v>
      </c>
      <c r="BI6" s="68">
        <v>102732.19</v>
      </c>
      <c r="BJ6" s="68">
        <v>70896.17</v>
      </c>
      <c r="BK6" s="68">
        <v>87538.94</v>
      </c>
      <c r="BL6" s="68">
        <v>76719.27</v>
      </c>
      <c r="BM6" s="68">
        <v>34358.58</v>
      </c>
      <c r="BN6" s="68">
        <v>91890.01</v>
      </c>
      <c r="BO6" s="68">
        <v>37603.29</v>
      </c>
      <c r="BP6" s="68">
        <v>40013.51</v>
      </c>
      <c r="BQ6" s="68">
        <v>86836.67</v>
      </c>
      <c r="BR6" s="68">
        <v>72953.6</v>
      </c>
      <c r="BS6" s="68">
        <v>62349.03</v>
      </c>
      <c r="BT6" s="68">
        <v>34180.62</v>
      </c>
      <c r="BU6" s="68">
        <v>31062.61</v>
      </c>
      <c r="BV6" s="68">
        <v>33500.28</v>
      </c>
      <c r="BW6" s="68">
        <v>37487.49</v>
      </c>
      <c r="BX6" s="68">
        <v>47422.5</v>
      </c>
      <c r="BY6" s="68">
        <v>22566.72</v>
      </c>
      <c r="BZ6" s="68">
        <v>27360.02</v>
      </c>
      <c r="CA6" s="68">
        <v>33119.44</v>
      </c>
      <c r="CB6" s="68">
        <v>42440.21</v>
      </c>
      <c r="CC6" s="68">
        <v>12408.31</v>
      </c>
      <c r="CD6" s="68">
        <v>16045.72</v>
      </c>
      <c r="CE6" s="68">
        <v>11800.93</v>
      </c>
      <c r="CF6" s="68">
        <v>24498.22</v>
      </c>
      <c r="CG6" s="68">
        <v>17431.61</v>
      </c>
      <c r="CH6" s="68">
        <v>25463.4</v>
      </c>
      <c r="CI6" s="68">
        <v>17186.52</v>
      </c>
      <c r="CJ6" s="68">
        <v>31411.71</v>
      </c>
      <c r="CK6" s="68">
        <v>6348.13</v>
      </c>
      <c r="CL6" s="68">
        <v>14969.41</v>
      </c>
      <c r="CM6" s="68">
        <v>7567.43</v>
      </c>
      <c r="CN6" s="68">
        <v>10744.32</v>
      </c>
      <c r="CO6" s="68">
        <v>12367.66</v>
      </c>
      <c r="CP6" s="68">
        <v>31689.43</v>
      </c>
      <c r="CQ6" s="68">
        <v>20774.74</v>
      </c>
      <c r="CR6" s="68">
        <v>22886.09</v>
      </c>
      <c r="CS6" s="68">
        <v>7542.97</v>
      </c>
      <c r="CT6" s="68">
        <v>19823.25</v>
      </c>
      <c r="CU6" s="68">
        <v>18516.65</v>
      </c>
      <c r="CV6" s="68">
        <v>7071.27</v>
      </c>
      <c r="CW6" s="68">
        <v>17284.53</v>
      </c>
      <c r="CX6" s="68">
        <v>10151.36</v>
      </c>
      <c r="CY6" s="68">
        <v>12298.65</v>
      </c>
      <c r="CZ6" s="68">
        <v>12015.73</v>
      </c>
      <c r="DA6" s="68">
        <v>9031.99</v>
      </c>
      <c r="DB6" s="68">
        <v>8747.25</v>
      </c>
      <c r="DC6" s="68">
        <v>15048.66</v>
      </c>
      <c r="DD6" s="68">
        <v>7594.94</v>
      </c>
      <c r="DE6" s="68">
        <v>19753.83</v>
      </c>
      <c r="DF6" s="68">
        <v>7785.94</v>
      </c>
      <c r="DG6" s="68">
        <v>10887.46</v>
      </c>
      <c r="DH6" s="68">
        <v>8724.29</v>
      </c>
      <c r="DI6" s="68">
        <v>8236.42</v>
      </c>
      <c r="DJ6" s="68">
        <v>15636.26</v>
      </c>
      <c r="DK6" s="68">
        <v>21081.55</v>
      </c>
      <c r="DL6" s="68">
        <v>7980.56</v>
      </c>
      <c r="DM6" s="68">
        <v>18427.07</v>
      </c>
      <c r="DN6" s="68">
        <v>13324.32</v>
      </c>
      <c r="DO6" s="68">
        <v>27515.02</v>
      </c>
      <c r="DP6" s="68">
        <v>16091.26</v>
      </c>
      <c r="DQ6" s="68">
        <v>12567.37</v>
      </c>
      <c r="DR6" s="68">
        <v>11666.62</v>
      </c>
      <c r="DS6" s="68">
        <v>15472.04</v>
      </c>
      <c r="DT6" s="68">
        <v>7946.5</v>
      </c>
      <c r="DU6" s="68">
        <v>0</v>
      </c>
      <c r="DV6" s="68"/>
      <c r="DW6" s="68"/>
      <c r="DX6" s="68"/>
      <c r="DY6" s="68"/>
      <c r="DZ6" s="68"/>
      <c r="EA6" s="63">
        <v>-2289676.13</v>
      </c>
      <c r="EB6" s="63">
        <f t="shared" si="0"/>
        <v>316247.3</v>
      </c>
      <c r="EC6" s="63">
        <f t="shared" si="3"/>
        <v>3813216.94</v>
      </c>
      <c r="ED6" s="63">
        <f t="shared" si="1"/>
        <v>2516946.19</v>
      </c>
      <c r="EE6" s="63">
        <f t="shared" si="2"/>
        <v>-35862.7</v>
      </c>
      <c r="EF6" s="63">
        <f t="shared" si="4"/>
        <v>1369863.95</v>
      </c>
      <c r="EG6" s="63">
        <f t="shared" si="5"/>
        <v>-1447481.9</v>
      </c>
    </row>
    <row r="7" spans="1:137">
      <c r="A7" s="57" t="s">
        <v>96</v>
      </c>
      <c r="B7" s="68">
        <v>60823300.46</v>
      </c>
      <c r="C7" s="68">
        <v>2446136.57</v>
      </c>
      <c r="D7" s="68">
        <v>-246440</v>
      </c>
      <c r="E7" s="68">
        <v>447768.96</v>
      </c>
      <c r="F7" s="68">
        <v>1122654.01</v>
      </c>
      <c r="G7" s="68">
        <v>1404314.3</v>
      </c>
      <c r="H7" s="68">
        <v>437807.37</v>
      </c>
      <c r="I7" s="68">
        <v>735914.06</v>
      </c>
      <c r="J7" s="68">
        <v>0</v>
      </c>
      <c r="K7" s="68">
        <v>171547.69</v>
      </c>
      <c r="L7" s="68">
        <v>539673.55</v>
      </c>
      <c r="M7" s="68">
        <v>771882.86</v>
      </c>
      <c r="N7" s="68">
        <v>710571.5</v>
      </c>
      <c r="O7" s="68">
        <v>1289517.14</v>
      </c>
      <c r="P7" s="68">
        <v>1169267.58</v>
      </c>
      <c r="Q7" s="68">
        <v>2538976.15</v>
      </c>
      <c r="R7" s="68">
        <v>482770.18</v>
      </c>
      <c r="S7" s="68">
        <v>226932.93</v>
      </c>
      <c r="T7" s="68">
        <v>595</v>
      </c>
      <c r="U7" s="68">
        <v>0</v>
      </c>
      <c r="V7" s="68">
        <v>0</v>
      </c>
      <c r="W7" s="68">
        <v>3045178</v>
      </c>
      <c r="X7" s="68">
        <v>8099618.94</v>
      </c>
      <c r="Y7" s="68">
        <v>2723418.9</v>
      </c>
      <c r="Z7" s="68">
        <v>1985031.37</v>
      </c>
      <c r="AA7" s="68">
        <v>659421.77</v>
      </c>
      <c r="AB7" s="68">
        <v>420785.28</v>
      </c>
      <c r="AC7" s="68">
        <v>0</v>
      </c>
      <c r="AD7" s="68">
        <v>1553590.99</v>
      </c>
      <c r="AE7" s="68">
        <v>28086365.36</v>
      </c>
      <c r="AF7" s="68">
        <v>437450.43</v>
      </c>
      <c r="AG7" s="68">
        <v>173851.6</v>
      </c>
      <c r="AH7" s="68">
        <v>439549.64</v>
      </c>
      <c r="AI7" s="68">
        <v>953462.84</v>
      </c>
      <c r="AJ7" s="68">
        <v>445906.33</v>
      </c>
      <c r="AK7" s="68">
        <v>459381.96</v>
      </c>
      <c r="AL7" s="68">
        <v>135575.2</v>
      </c>
      <c r="AM7" s="68">
        <v>1005764.26</v>
      </c>
      <c r="AN7" s="68">
        <v>2421790.67</v>
      </c>
      <c r="AO7" s="68">
        <v>2341685.79</v>
      </c>
      <c r="AP7" s="68">
        <v>1517203.9</v>
      </c>
      <c r="AQ7" s="68">
        <v>413510.89</v>
      </c>
      <c r="AR7" s="68">
        <v>258828.77</v>
      </c>
      <c r="AS7" s="68">
        <v>140834.66</v>
      </c>
      <c r="AT7" s="68">
        <v>0</v>
      </c>
      <c r="AU7" s="68">
        <v>669953.7</v>
      </c>
      <c r="AV7" s="68">
        <v>835716.67</v>
      </c>
      <c r="AW7" s="68">
        <v>814303.43</v>
      </c>
      <c r="AX7" s="68">
        <v>403445.1</v>
      </c>
      <c r="AY7" s="68">
        <v>419793.85</v>
      </c>
      <c r="AZ7" s="68">
        <v>239627.92</v>
      </c>
      <c r="BA7" s="68">
        <v>908132.32</v>
      </c>
      <c r="BB7" s="68">
        <v>953995.52</v>
      </c>
      <c r="BC7" s="68">
        <v>706453.93</v>
      </c>
      <c r="BD7" s="68">
        <v>843307.52</v>
      </c>
      <c r="BE7" s="68">
        <v>0</v>
      </c>
      <c r="BF7" s="68">
        <v>24674476.07</v>
      </c>
      <c r="BG7" s="68">
        <v>1073331.29</v>
      </c>
      <c r="BH7" s="68">
        <v>968767.31</v>
      </c>
      <c r="BI7" s="68">
        <v>1221860.9</v>
      </c>
      <c r="BJ7" s="68">
        <v>950874.39</v>
      </c>
      <c r="BK7" s="68">
        <v>1089324.3</v>
      </c>
      <c r="BL7" s="68">
        <v>997351.88</v>
      </c>
      <c r="BM7" s="68">
        <v>381309.45</v>
      </c>
      <c r="BN7" s="68">
        <v>1238378.77</v>
      </c>
      <c r="BO7" s="68">
        <v>548088.74</v>
      </c>
      <c r="BP7" s="68">
        <v>463152.25</v>
      </c>
      <c r="BQ7" s="68">
        <v>1447571.35</v>
      </c>
      <c r="BR7" s="68">
        <v>813222.24</v>
      </c>
      <c r="BS7" s="68">
        <v>793263.34</v>
      </c>
      <c r="BT7" s="68">
        <v>516452.63</v>
      </c>
      <c r="BU7" s="68">
        <v>514429.24</v>
      </c>
      <c r="BV7" s="68">
        <v>409011.71</v>
      </c>
      <c r="BW7" s="68">
        <v>462013.38</v>
      </c>
      <c r="BX7" s="68">
        <v>541830.19</v>
      </c>
      <c r="BY7" s="68">
        <v>260055.91</v>
      </c>
      <c r="BZ7" s="68">
        <v>310346.7</v>
      </c>
      <c r="CA7" s="68">
        <v>474681.74</v>
      </c>
      <c r="CB7" s="68">
        <v>657036.59</v>
      </c>
      <c r="CC7" s="68">
        <v>213081.3</v>
      </c>
      <c r="CD7" s="68">
        <v>185311.92</v>
      </c>
      <c r="CE7" s="68">
        <v>193666.18</v>
      </c>
      <c r="CF7" s="68">
        <v>261390.57</v>
      </c>
      <c r="CG7" s="68">
        <v>230356.38</v>
      </c>
      <c r="CH7" s="68">
        <v>330044.62</v>
      </c>
      <c r="CI7" s="68">
        <v>213719.29</v>
      </c>
      <c r="CJ7" s="68">
        <v>823397.62</v>
      </c>
      <c r="CK7" s="68">
        <v>111916.72</v>
      </c>
      <c r="CL7" s="68">
        <v>191517.99</v>
      </c>
      <c r="CM7" s="68">
        <v>104955.17</v>
      </c>
      <c r="CN7" s="68">
        <v>149836.36</v>
      </c>
      <c r="CO7" s="68">
        <v>195072.82</v>
      </c>
      <c r="CP7" s="68">
        <v>614338.98</v>
      </c>
      <c r="CQ7" s="68">
        <v>217267.62</v>
      </c>
      <c r="CR7" s="68">
        <v>174065.22</v>
      </c>
      <c r="CS7" s="68">
        <v>94040.45</v>
      </c>
      <c r="CT7" s="68">
        <v>83066.64</v>
      </c>
      <c r="CU7" s="68">
        <v>148034.61</v>
      </c>
      <c r="CV7" s="68">
        <v>74470.07</v>
      </c>
      <c r="CW7" s="68">
        <v>293947.61</v>
      </c>
      <c r="CX7" s="68">
        <v>137884.02</v>
      </c>
      <c r="CY7" s="68">
        <v>168660</v>
      </c>
      <c r="CZ7" s="68">
        <v>129745.22</v>
      </c>
      <c r="DA7" s="68">
        <v>233100.97</v>
      </c>
      <c r="DB7" s="68">
        <v>147024.88</v>
      </c>
      <c r="DC7" s="68">
        <v>122445.32</v>
      </c>
      <c r="DD7" s="68">
        <v>147703.91</v>
      </c>
      <c r="DE7" s="68">
        <v>217769.23</v>
      </c>
      <c r="DF7" s="68">
        <v>144752.84</v>
      </c>
      <c r="DG7" s="68">
        <v>138103.15</v>
      </c>
      <c r="DH7" s="68">
        <v>116690.55</v>
      </c>
      <c r="DI7" s="68">
        <v>95039.02</v>
      </c>
      <c r="DJ7" s="68">
        <v>107768.56</v>
      </c>
      <c r="DK7" s="68">
        <v>213133.73</v>
      </c>
      <c r="DL7" s="68">
        <v>135123.66</v>
      </c>
      <c r="DM7" s="68">
        <v>70605.12</v>
      </c>
      <c r="DN7" s="68">
        <v>255816.08</v>
      </c>
      <c r="DO7" s="68">
        <v>303046.12</v>
      </c>
      <c r="DP7" s="68">
        <v>261696.55</v>
      </c>
      <c r="DQ7" s="68">
        <v>89842.95</v>
      </c>
      <c r="DR7" s="68">
        <v>87542.67</v>
      </c>
      <c r="DS7" s="68">
        <v>193342.84</v>
      </c>
      <c r="DT7" s="68">
        <v>121786.24</v>
      </c>
      <c r="DU7" s="68">
        <v>0</v>
      </c>
      <c r="DV7" s="68"/>
      <c r="DW7" s="68"/>
      <c r="DX7" s="68"/>
      <c r="DY7" s="68"/>
      <c r="DZ7" s="68"/>
      <c r="EA7" s="63">
        <v>-28086365.36</v>
      </c>
      <c r="EB7" s="63">
        <f t="shared" si="0"/>
        <v>2097926.22</v>
      </c>
      <c r="EC7" s="63">
        <f t="shared" si="3"/>
        <v>49227165.9</v>
      </c>
      <c r="ED7" s="63">
        <f t="shared" si="1"/>
        <v>30995968.16</v>
      </c>
      <c r="EE7" s="63">
        <f t="shared" si="2"/>
        <v>-1161792.42</v>
      </c>
      <c r="EF7" s="63">
        <f t="shared" si="4"/>
        <v>5190016.14</v>
      </c>
      <c r="EG7" s="63">
        <f t="shared" si="5"/>
        <v>-5779645.14</v>
      </c>
    </row>
    <row r="8" spans="1:137">
      <c r="A8" s="57" t="s">
        <v>97</v>
      </c>
      <c r="B8" s="68">
        <v>359744.37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200000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46995.37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112749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8">
        <v>0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46995.37</v>
      </c>
      <c r="AV8" s="68">
        <v>0</v>
      </c>
      <c r="AW8" s="68">
        <v>0</v>
      </c>
      <c r="AX8" s="68">
        <v>0</v>
      </c>
      <c r="AY8" s="68">
        <v>0</v>
      </c>
      <c r="AZ8" s="68">
        <v>0</v>
      </c>
      <c r="BA8" s="68">
        <v>0</v>
      </c>
      <c r="BB8" s="68">
        <v>0</v>
      </c>
      <c r="BC8" s="68">
        <v>0</v>
      </c>
      <c r="BD8" s="68">
        <v>0</v>
      </c>
      <c r="BE8" s="68">
        <v>0</v>
      </c>
      <c r="BF8" s="68">
        <v>112749</v>
      </c>
      <c r="BG8" s="68">
        <v>0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M8" s="68">
        <v>0</v>
      </c>
      <c r="BN8" s="68">
        <v>0</v>
      </c>
      <c r="BO8" s="68">
        <v>0</v>
      </c>
      <c r="BP8" s="68">
        <v>0</v>
      </c>
      <c r="BQ8" s="68">
        <v>0</v>
      </c>
      <c r="BR8" s="68">
        <v>0</v>
      </c>
      <c r="BS8" s="68">
        <v>0</v>
      </c>
      <c r="BT8" s="68">
        <v>0</v>
      </c>
      <c r="BU8" s="68">
        <v>0</v>
      </c>
      <c r="BV8" s="68">
        <v>0</v>
      </c>
      <c r="BW8" s="68">
        <v>0</v>
      </c>
      <c r="BX8" s="68">
        <v>0</v>
      </c>
      <c r="BY8" s="68">
        <v>15000</v>
      </c>
      <c r="BZ8" s="68">
        <v>0</v>
      </c>
      <c r="CA8" s="68">
        <v>0</v>
      </c>
      <c r="CB8" s="68">
        <v>0</v>
      </c>
      <c r="CC8" s="68">
        <v>0</v>
      </c>
      <c r="CD8" s="68">
        <v>0</v>
      </c>
      <c r="CE8" s="68">
        <v>0</v>
      </c>
      <c r="CF8" s="68">
        <v>0</v>
      </c>
      <c r="CG8" s="68">
        <v>0</v>
      </c>
      <c r="CH8" s="68">
        <v>0</v>
      </c>
      <c r="CI8" s="68">
        <v>0</v>
      </c>
      <c r="CJ8" s="68">
        <v>97749</v>
      </c>
      <c r="CK8" s="68">
        <v>0</v>
      </c>
      <c r="CL8" s="68">
        <v>0</v>
      </c>
      <c r="CM8" s="68">
        <v>0</v>
      </c>
      <c r="CN8" s="68">
        <v>0</v>
      </c>
      <c r="CO8" s="68">
        <v>0</v>
      </c>
      <c r="CP8" s="68">
        <v>0</v>
      </c>
      <c r="CQ8" s="68">
        <v>0</v>
      </c>
      <c r="CR8" s="68">
        <v>0</v>
      </c>
      <c r="CS8" s="68">
        <v>0</v>
      </c>
      <c r="CT8" s="68">
        <v>0</v>
      </c>
      <c r="CU8" s="68">
        <v>0</v>
      </c>
      <c r="CV8" s="68">
        <v>0</v>
      </c>
      <c r="CW8" s="68">
        <v>0</v>
      </c>
      <c r="CX8" s="68">
        <v>0</v>
      </c>
      <c r="CY8" s="68">
        <v>0</v>
      </c>
      <c r="CZ8" s="68">
        <v>0</v>
      </c>
      <c r="DA8" s="68">
        <v>0</v>
      </c>
      <c r="DB8" s="68">
        <v>0</v>
      </c>
      <c r="DC8" s="68">
        <v>0</v>
      </c>
      <c r="DD8" s="68">
        <v>0</v>
      </c>
      <c r="DE8" s="68">
        <v>0</v>
      </c>
      <c r="DF8" s="68">
        <v>0</v>
      </c>
      <c r="DG8" s="68">
        <v>0</v>
      </c>
      <c r="DH8" s="68">
        <v>0</v>
      </c>
      <c r="DI8" s="68">
        <v>0</v>
      </c>
      <c r="DJ8" s="68">
        <v>0</v>
      </c>
      <c r="DK8" s="68">
        <v>0</v>
      </c>
      <c r="DL8" s="68">
        <v>0</v>
      </c>
      <c r="DM8" s="68">
        <v>0</v>
      </c>
      <c r="DN8" s="68">
        <v>0</v>
      </c>
      <c r="DO8" s="68">
        <v>0</v>
      </c>
      <c r="DP8" s="68">
        <v>0</v>
      </c>
      <c r="DQ8" s="68">
        <v>0</v>
      </c>
      <c r="DR8" s="68">
        <v>0</v>
      </c>
      <c r="DS8" s="68">
        <v>0</v>
      </c>
      <c r="DT8" s="68">
        <v>0</v>
      </c>
      <c r="DU8" s="68">
        <v>0</v>
      </c>
      <c r="DV8" s="68"/>
      <c r="DW8" s="68"/>
      <c r="DX8" s="68"/>
      <c r="DY8" s="68"/>
      <c r="DZ8" s="68"/>
      <c r="EA8" s="63">
        <v>-112749</v>
      </c>
      <c r="EB8" s="63">
        <f t="shared" si="0"/>
        <v>0</v>
      </c>
      <c r="EC8" s="63">
        <f t="shared" si="3"/>
        <v>225498</v>
      </c>
      <c r="ED8" s="63">
        <f t="shared" si="1"/>
        <v>112749</v>
      </c>
      <c r="EE8" s="63">
        <f t="shared" si="2"/>
        <v>0</v>
      </c>
      <c r="EF8" s="63">
        <f t="shared" si="4"/>
        <v>0</v>
      </c>
      <c r="EG8" s="63">
        <f t="shared" si="5"/>
        <v>46995.37</v>
      </c>
    </row>
    <row r="9" spans="1:137">
      <c r="A9" s="57" t="s">
        <v>98</v>
      </c>
      <c r="B9" s="68">
        <v>4298338.56</v>
      </c>
      <c r="C9" s="68">
        <v>40397.44</v>
      </c>
      <c r="D9" s="68">
        <v>219260.63</v>
      </c>
      <c r="E9" s="68">
        <v>16158.97</v>
      </c>
      <c r="F9" s="68">
        <v>96659.74</v>
      </c>
      <c r="G9" s="68">
        <v>67329.06</v>
      </c>
      <c r="H9" s="68">
        <v>16158.97</v>
      </c>
      <c r="I9" s="68">
        <v>21545.3</v>
      </c>
      <c r="J9" s="68">
        <v>0</v>
      </c>
      <c r="K9" s="68">
        <v>8079.49</v>
      </c>
      <c r="L9" s="68">
        <v>18852.14</v>
      </c>
      <c r="M9" s="68">
        <v>26931.62</v>
      </c>
      <c r="N9" s="68">
        <v>29624.79</v>
      </c>
      <c r="O9" s="68">
        <v>51972.65</v>
      </c>
      <c r="P9" s="68">
        <v>59249.57</v>
      </c>
      <c r="Q9" s="68">
        <v>110419.66</v>
      </c>
      <c r="R9" s="68">
        <v>16158.97</v>
      </c>
      <c r="S9" s="68">
        <v>5386.32</v>
      </c>
      <c r="T9" s="68">
        <v>0</v>
      </c>
      <c r="U9" s="68">
        <v>0</v>
      </c>
      <c r="V9" s="68">
        <v>0</v>
      </c>
      <c r="W9" s="68">
        <v>146717.08</v>
      </c>
      <c r="X9" s="68">
        <v>321482.33</v>
      </c>
      <c r="Y9" s="68">
        <v>132036.1</v>
      </c>
      <c r="Z9" s="68">
        <v>99504.27</v>
      </c>
      <c r="AA9" s="68">
        <v>26931.62</v>
      </c>
      <c r="AB9" s="68">
        <v>22029.06</v>
      </c>
      <c r="AC9" s="68">
        <v>0</v>
      </c>
      <c r="AD9" s="68">
        <v>164907.12</v>
      </c>
      <c r="AE9" s="68">
        <v>2580545.66</v>
      </c>
      <c r="AF9" s="68">
        <v>38506.83</v>
      </c>
      <c r="AG9" s="68">
        <v>13465.81</v>
      </c>
      <c r="AH9" s="68">
        <v>24722.22</v>
      </c>
      <c r="AI9" s="68">
        <v>32317.95</v>
      </c>
      <c r="AJ9" s="68">
        <v>16158.97</v>
      </c>
      <c r="AK9" s="68">
        <v>10772.65</v>
      </c>
      <c r="AL9" s="68">
        <v>10772.65</v>
      </c>
      <c r="AM9" s="68">
        <v>58304.27</v>
      </c>
      <c r="AN9" s="68">
        <v>117553.85</v>
      </c>
      <c r="AO9" s="68">
        <v>45641.02</v>
      </c>
      <c r="AP9" s="68">
        <v>78437.89</v>
      </c>
      <c r="AQ9" s="68">
        <v>21545.3</v>
      </c>
      <c r="AR9" s="68">
        <v>0</v>
      </c>
      <c r="AS9" s="68">
        <v>0</v>
      </c>
      <c r="AT9" s="68">
        <v>0</v>
      </c>
      <c r="AU9" s="68">
        <v>21402.56</v>
      </c>
      <c r="AV9" s="68">
        <v>63101.92</v>
      </c>
      <c r="AW9" s="68">
        <v>36758.97</v>
      </c>
      <c r="AX9" s="68">
        <v>10772.65</v>
      </c>
      <c r="AY9" s="68">
        <v>26931.62</v>
      </c>
      <c r="AZ9" s="68">
        <v>0</v>
      </c>
      <c r="BA9" s="68">
        <v>24238.46</v>
      </c>
      <c r="BB9" s="68">
        <v>38045.3</v>
      </c>
      <c r="BC9" s="68">
        <v>24238.46</v>
      </c>
      <c r="BD9" s="68">
        <v>44838.46</v>
      </c>
      <c r="BE9" s="68">
        <v>0</v>
      </c>
      <c r="BF9" s="68">
        <v>2449184.98</v>
      </c>
      <c r="BG9" s="68">
        <v>136592.31</v>
      </c>
      <c r="BH9" s="68">
        <v>133430.77</v>
      </c>
      <c r="BI9" s="68">
        <v>145015.38</v>
      </c>
      <c r="BJ9" s="68">
        <v>123907.69</v>
      </c>
      <c r="BK9" s="68">
        <v>100492.69</v>
      </c>
      <c r="BL9" s="68">
        <v>110342.31</v>
      </c>
      <c r="BM9" s="68">
        <v>54007.69</v>
      </c>
      <c r="BN9" s="68">
        <v>142961.54</v>
      </c>
      <c r="BO9" s="68">
        <v>0</v>
      </c>
      <c r="BP9" s="68">
        <v>2900</v>
      </c>
      <c r="BQ9" s="68">
        <v>254660.82</v>
      </c>
      <c r="BR9" s="68">
        <v>60361.54</v>
      </c>
      <c r="BS9" s="68">
        <v>81484.9</v>
      </c>
      <c r="BT9" s="68">
        <v>44476.92</v>
      </c>
      <c r="BU9" s="68">
        <v>0</v>
      </c>
      <c r="BV9" s="68">
        <v>63492.31</v>
      </c>
      <c r="BW9" s="68">
        <v>66638.46</v>
      </c>
      <c r="BX9" s="68">
        <v>73069.23</v>
      </c>
      <c r="BY9" s="68">
        <v>38123.08</v>
      </c>
      <c r="BZ9" s="68">
        <v>44476.92</v>
      </c>
      <c r="CA9" s="68">
        <v>63507.69</v>
      </c>
      <c r="CB9" s="68">
        <v>76246.15</v>
      </c>
      <c r="CC9" s="68">
        <v>31769.23</v>
      </c>
      <c r="CD9" s="68">
        <v>15876.92</v>
      </c>
      <c r="CE9" s="68">
        <v>12707.69</v>
      </c>
      <c r="CF9" s="68">
        <v>34946.15</v>
      </c>
      <c r="CG9" s="68">
        <v>22246.15</v>
      </c>
      <c r="CH9" s="68">
        <v>50830.77</v>
      </c>
      <c r="CI9" s="68">
        <v>28592.31</v>
      </c>
      <c r="CJ9" s="68">
        <v>54898.04</v>
      </c>
      <c r="CK9" s="68">
        <v>9530.77</v>
      </c>
      <c r="CL9" s="68">
        <v>22238.46</v>
      </c>
      <c r="CM9" s="68">
        <v>12707.69</v>
      </c>
      <c r="CN9" s="68">
        <v>12707.69</v>
      </c>
      <c r="CO9" s="68">
        <v>3176.92</v>
      </c>
      <c r="CP9" s="68">
        <v>0</v>
      </c>
      <c r="CQ9" s="68">
        <v>31769.23</v>
      </c>
      <c r="CR9" s="68">
        <v>6353.85</v>
      </c>
      <c r="CS9" s="68">
        <v>12707.69</v>
      </c>
      <c r="CT9" s="68">
        <v>9538.46</v>
      </c>
      <c r="CU9" s="68">
        <v>0</v>
      </c>
      <c r="CV9" s="68">
        <v>9523.08</v>
      </c>
      <c r="CW9" s="68">
        <v>19847.58</v>
      </c>
      <c r="CX9" s="68">
        <v>17946.44</v>
      </c>
      <c r="CY9" s="68">
        <v>21682.74</v>
      </c>
      <c r="CZ9" s="68">
        <v>9530.77</v>
      </c>
      <c r="DA9" s="68">
        <v>6353.85</v>
      </c>
      <c r="DB9" s="68">
        <v>12707.69</v>
      </c>
      <c r="DC9" s="68">
        <v>0</v>
      </c>
      <c r="DD9" s="68">
        <v>12707.69</v>
      </c>
      <c r="DE9" s="68">
        <v>-1115.1</v>
      </c>
      <c r="DF9" s="68">
        <v>0</v>
      </c>
      <c r="DG9" s="68">
        <v>3531</v>
      </c>
      <c r="DH9" s="68">
        <v>9530.77</v>
      </c>
      <c r="DI9" s="68">
        <v>6353.85</v>
      </c>
      <c r="DJ9" s="68">
        <v>0</v>
      </c>
      <c r="DK9" s="68">
        <v>12707.69</v>
      </c>
      <c r="DL9" s="68">
        <v>9530.77</v>
      </c>
      <c r="DM9" s="68">
        <v>15884.62</v>
      </c>
      <c r="DN9" s="68">
        <v>2721</v>
      </c>
      <c r="DO9" s="68">
        <v>25415.38</v>
      </c>
      <c r="DP9" s="68">
        <v>0</v>
      </c>
      <c r="DQ9" s="68">
        <v>0</v>
      </c>
      <c r="DR9" s="68">
        <v>12707.69</v>
      </c>
      <c r="DS9" s="68">
        <v>31707.69</v>
      </c>
      <c r="DT9" s="68">
        <v>21123.36</v>
      </c>
      <c r="DU9" s="68">
        <v>0</v>
      </c>
      <c r="DV9" s="68"/>
      <c r="DW9" s="68"/>
      <c r="DX9" s="68"/>
      <c r="DY9" s="68"/>
      <c r="DZ9" s="68"/>
      <c r="EA9" s="63">
        <v>-2580545.66</v>
      </c>
      <c r="EB9" s="63">
        <f t="shared" si="0"/>
        <v>-33546.44</v>
      </c>
      <c r="EC9" s="63">
        <f t="shared" si="3"/>
        <v>4877246.6</v>
      </c>
      <c r="ED9" s="63">
        <f t="shared" si="1"/>
        <v>2716490.09</v>
      </c>
      <c r="EE9" s="63">
        <f t="shared" si="2"/>
        <v>-61800</v>
      </c>
      <c r="EF9" s="63">
        <f t="shared" si="4"/>
        <v>185537.9</v>
      </c>
      <c r="EG9" s="63">
        <f t="shared" si="5"/>
        <v>-200218.88</v>
      </c>
    </row>
    <row r="10" spans="1:137">
      <c r="A10" s="57" t="s">
        <v>99</v>
      </c>
      <c r="B10" s="68">
        <v>2730887.59</v>
      </c>
      <c r="C10" s="68">
        <v>32640</v>
      </c>
      <c r="D10" s="68">
        <v>0</v>
      </c>
      <c r="E10" s="68">
        <v>17700</v>
      </c>
      <c r="F10" s="68">
        <v>43700</v>
      </c>
      <c r="G10" s="68">
        <v>37080</v>
      </c>
      <c r="H10" s="68">
        <v>17460</v>
      </c>
      <c r="I10" s="68">
        <v>17000</v>
      </c>
      <c r="J10" s="68">
        <v>0</v>
      </c>
      <c r="K10" s="68">
        <v>3320</v>
      </c>
      <c r="L10" s="68">
        <v>10140</v>
      </c>
      <c r="M10" s="68">
        <v>8440</v>
      </c>
      <c r="N10" s="68">
        <v>15000</v>
      </c>
      <c r="O10" s="68">
        <v>38380</v>
      </c>
      <c r="P10" s="68">
        <v>34080</v>
      </c>
      <c r="Q10" s="68">
        <v>213400</v>
      </c>
      <c r="R10" s="68">
        <v>7020</v>
      </c>
      <c r="S10" s="68">
        <v>0</v>
      </c>
      <c r="T10" s="68">
        <v>420</v>
      </c>
      <c r="U10" s="68">
        <v>0</v>
      </c>
      <c r="V10" s="68">
        <v>0</v>
      </c>
      <c r="W10" s="68">
        <v>186580</v>
      </c>
      <c r="X10" s="68">
        <v>0</v>
      </c>
      <c r="Y10" s="68">
        <v>117993.1</v>
      </c>
      <c r="Z10" s="68">
        <v>150216.21</v>
      </c>
      <c r="AA10" s="68">
        <v>70540</v>
      </c>
      <c r="AB10" s="68">
        <v>33815.86</v>
      </c>
      <c r="AC10" s="68">
        <v>0</v>
      </c>
      <c r="AD10" s="68">
        <v>105368.28</v>
      </c>
      <c r="AE10" s="68">
        <v>1570594.14</v>
      </c>
      <c r="AF10" s="68">
        <v>19740</v>
      </c>
      <c r="AG10" s="68">
        <v>-7720</v>
      </c>
      <c r="AH10" s="68">
        <v>40800</v>
      </c>
      <c r="AI10" s="68">
        <v>57500</v>
      </c>
      <c r="AJ10" s="68">
        <v>33420</v>
      </c>
      <c r="AK10" s="68">
        <v>31500</v>
      </c>
      <c r="AL10" s="68">
        <v>11340</v>
      </c>
      <c r="AM10" s="68">
        <v>0</v>
      </c>
      <c r="AN10" s="68">
        <v>0</v>
      </c>
      <c r="AO10" s="68">
        <v>0</v>
      </c>
      <c r="AP10" s="68">
        <v>0</v>
      </c>
      <c r="AQ10" s="68">
        <v>0</v>
      </c>
      <c r="AR10" s="68">
        <v>0</v>
      </c>
      <c r="AS10" s="68">
        <v>0</v>
      </c>
      <c r="AT10" s="68">
        <v>0</v>
      </c>
      <c r="AU10" s="68">
        <v>50013.1</v>
      </c>
      <c r="AV10" s="68">
        <v>26120</v>
      </c>
      <c r="AW10" s="68">
        <v>12620</v>
      </c>
      <c r="AX10" s="68">
        <v>29240</v>
      </c>
      <c r="AY10" s="68">
        <v>42840</v>
      </c>
      <c r="AZ10" s="68">
        <v>27700</v>
      </c>
      <c r="BA10" s="68">
        <v>55640</v>
      </c>
      <c r="BB10" s="68">
        <v>23460</v>
      </c>
      <c r="BC10" s="68">
        <v>19360</v>
      </c>
      <c r="BD10" s="68">
        <v>21640</v>
      </c>
      <c r="BE10" s="68">
        <v>0</v>
      </c>
      <c r="BF10" s="68">
        <v>1450494.14</v>
      </c>
      <c r="BG10" s="68">
        <v>40080</v>
      </c>
      <c r="BH10" s="68">
        <v>37380</v>
      </c>
      <c r="BI10" s="68">
        <v>45780</v>
      </c>
      <c r="BJ10" s="68">
        <v>39900</v>
      </c>
      <c r="BK10" s="68">
        <v>40660</v>
      </c>
      <c r="BL10" s="68">
        <v>35280</v>
      </c>
      <c r="BM10" s="68">
        <v>18480</v>
      </c>
      <c r="BN10" s="68">
        <v>36120</v>
      </c>
      <c r="BO10" s="68">
        <v>16800</v>
      </c>
      <c r="BP10" s="68">
        <v>23380</v>
      </c>
      <c r="BQ10" s="68">
        <v>34440</v>
      </c>
      <c r="BR10" s="68">
        <v>39060</v>
      </c>
      <c r="BS10" s="68">
        <v>40400</v>
      </c>
      <c r="BT10" s="68">
        <v>27120</v>
      </c>
      <c r="BU10" s="68">
        <v>25200</v>
      </c>
      <c r="BV10" s="68">
        <v>18900</v>
      </c>
      <c r="BW10" s="68">
        <v>26460</v>
      </c>
      <c r="BX10" s="68">
        <v>26888.97</v>
      </c>
      <c r="BY10" s="68">
        <v>16420</v>
      </c>
      <c r="BZ10" s="68">
        <v>15540</v>
      </c>
      <c r="CA10" s="68">
        <v>28140</v>
      </c>
      <c r="CB10" s="68">
        <v>30660</v>
      </c>
      <c r="CC10" s="68">
        <v>15120</v>
      </c>
      <c r="CD10" s="68">
        <v>15480</v>
      </c>
      <c r="CE10" s="68">
        <v>15120</v>
      </c>
      <c r="CF10" s="68">
        <v>13440</v>
      </c>
      <c r="CG10" s="68">
        <v>15120</v>
      </c>
      <c r="CH10" s="68">
        <v>14700</v>
      </c>
      <c r="CI10" s="68">
        <v>14700</v>
      </c>
      <c r="CJ10" s="68">
        <v>81150</v>
      </c>
      <c r="CK10" s="68">
        <v>13440</v>
      </c>
      <c r="CL10" s="68">
        <v>15120</v>
      </c>
      <c r="CM10" s="68">
        <v>8800</v>
      </c>
      <c r="CN10" s="68">
        <v>13020</v>
      </c>
      <c r="CO10" s="68">
        <v>15480</v>
      </c>
      <c r="CP10" s="68">
        <v>29820</v>
      </c>
      <c r="CQ10" s="68">
        <v>15860</v>
      </c>
      <c r="CR10" s="68">
        <v>15360</v>
      </c>
      <c r="CS10" s="68">
        <v>14900</v>
      </c>
      <c r="CT10" s="68">
        <v>14755.17</v>
      </c>
      <c r="CU10" s="68">
        <v>14000</v>
      </c>
      <c r="CV10" s="68">
        <v>16380</v>
      </c>
      <c r="CW10" s="68">
        <v>37340</v>
      </c>
      <c r="CX10" s="68">
        <v>13460</v>
      </c>
      <c r="CY10" s="68">
        <v>19320</v>
      </c>
      <c r="CZ10" s="68">
        <v>14700</v>
      </c>
      <c r="DA10" s="68">
        <v>17351.72</v>
      </c>
      <c r="DB10" s="68">
        <v>16568.28</v>
      </c>
      <c r="DC10" s="68">
        <v>20280</v>
      </c>
      <c r="DD10" s="68">
        <v>15120</v>
      </c>
      <c r="DE10" s="68">
        <v>15120</v>
      </c>
      <c r="DF10" s="68">
        <v>15040</v>
      </c>
      <c r="DG10" s="68">
        <v>15780</v>
      </c>
      <c r="DH10" s="68">
        <v>13980</v>
      </c>
      <c r="DI10" s="68">
        <v>13080</v>
      </c>
      <c r="DJ10" s="68">
        <v>13940</v>
      </c>
      <c r="DK10" s="68">
        <v>20160</v>
      </c>
      <c r="DL10" s="68">
        <v>15120</v>
      </c>
      <c r="DM10" s="68">
        <v>14980</v>
      </c>
      <c r="DN10" s="68">
        <v>15120</v>
      </c>
      <c r="DO10" s="68">
        <v>28900</v>
      </c>
      <c r="DP10" s="68">
        <v>25200</v>
      </c>
      <c r="DQ10" s="68">
        <v>15460</v>
      </c>
      <c r="DR10" s="68">
        <v>9760</v>
      </c>
      <c r="DS10" s="68">
        <v>14640</v>
      </c>
      <c r="DT10" s="68">
        <v>15220</v>
      </c>
      <c r="DU10" s="68">
        <v>0</v>
      </c>
      <c r="DV10" s="68"/>
      <c r="DW10" s="68"/>
      <c r="DX10" s="68"/>
      <c r="DY10" s="68"/>
      <c r="DZ10" s="68"/>
      <c r="EA10" s="63">
        <v>-1570594.14</v>
      </c>
      <c r="EB10" s="63">
        <f t="shared" si="0"/>
        <v>42431.72</v>
      </c>
      <c r="EC10" s="63">
        <f t="shared" si="3"/>
        <v>2885768.28</v>
      </c>
      <c r="ED10" s="63">
        <f t="shared" si="1"/>
        <v>1745834.14</v>
      </c>
      <c r="EE10" s="63">
        <f t="shared" si="2"/>
        <v>-78136.21</v>
      </c>
      <c r="EF10" s="63">
        <f t="shared" si="4"/>
        <v>-175240</v>
      </c>
      <c r="EG10" s="63">
        <f t="shared" si="5"/>
        <v>88753.1</v>
      </c>
    </row>
    <row r="11" spans="1:137">
      <c r="A11" s="57" t="s">
        <v>100</v>
      </c>
      <c r="B11" s="68">
        <v>4184140.38</v>
      </c>
      <c r="C11" s="68">
        <v>0</v>
      </c>
      <c r="D11" s="68">
        <v>0</v>
      </c>
      <c r="E11" s="68">
        <v>0</v>
      </c>
      <c r="F11" s="68">
        <v>390073.61</v>
      </c>
      <c r="G11" s="68">
        <v>0</v>
      </c>
      <c r="H11" s="68">
        <v>0</v>
      </c>
      <c r="I11" s="68">
        <v>67594.84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1112484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417406.87</v>
      </c>
      <c r="X11" s="68">
        <v>131349.48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1159133.96</v>
      </c>
      <c r="AE11" s="68">
        <v>906097.62</v>
      </c>
      <c r="AF11" s="68">
        <v>417406.87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131349.48</v>
      </c>
      <c r="AN11" s="68">
        <v>0</v>
      </c>
      <c r="AO11" s="68">
        <v>0</v>
      </c>
      <c r="AP11" s="68">
        <v>0</v>
      </c>
      <c r="AQ11" s="68">
        <v>0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906097.62</v>
      </c>
      <c r="BG11" s="68">
        <v>30555</v>
      </c>
      <c r="BH11" s="68">
        <v>30555</v>
      </c>
      <c r="BI11" s="68">
        <v>30555</v>
      </c>
      <c r="BJ11" s="68">
        <v>30555</v>
      </c>
      <c r="BK11" s="68">
        <v>30555</v>
      </c>
      <c r="BL11" s="68">
        <v>30555</v>
      </c>
      <c r="BM11" s="68">
        <v>20555</v>
      </c>
      <c r="BN11" s="68">
        <v>30555</v>
      </c>
      <c r="BO11" s="68">
        <v>26670</v>
      </c>
      <c r="BP11" s="68">
        <v>20555</v>
      </c>
      <c r="BQ11" s="68">
        <v>30555</v>
      </c>
      <c r="BR11" s="68">
        <v>30555</v>
      </c>
      <c r="BS11" s="68">
        <v>26670</v>
      </c>
      <c r="BT11" s="68">
        <v>26670</v>
      </c>
      <c r="BU11" s="68">
        <v>20555</v>
      </c>
      <c r="BV11" s="68">
        <v>26670</v>
      </c>
      <c r="BW11" s="68">
        <v>20555</v>
      </c>
      <c r="BX11" s="68">
        <v>26670</v>
      </c>
      <c r="BY11" s="68">
        <v>20555</v>
      </c>
      <c r="BZ11" s="68">
        <v>16110</v>
      </c>
      <c r="CA11" s="68">
        <v>20555</v>
      </c>
      <c r="CB11" s="68">
        <v>26670</v>
      </c>
      <c r="CC11" s="68">
        <v>16110</v>
      </c>
      <c r="CD11" s="68">
        <v>16110</v>
      </c>
      <c r="CE11" s="68">
        <v>16110</v>
      </c>
      <c r="CF11" s="68">
        <v>16110</v>
      </c>
      <c r="CG11" s="68">
        <v>16110</v>
      </c>
      <c r="CH11" s="68">
        <v>16110</v>
      </c>
      <c r="CI11" s="68">
        <v>20555</v>
      </c>
      <c r="CJ11" s="68">
        <v>64427.62</v>
      </c>
      <c r="CK11" s="68">
        <v>16110</v>
      </c>
      <c r="CL11" s="68">
        <v>16110</v>
      </c>
      <c r="CM11" s="68">
        <v>16110</v>
      </c>
      <c r="CN11" s="68">
        <v>16110</v>
      </c>
      <c r="CO11" s="68">
        <v>16110</v>
      </c>
      <c r="CP11" s="68">
        <v>26670</v>
      </c>
      <c r="CQ11" s="68">
        <v>26670</v>
      </c>
      <c r="CR11" s="68">
        <v>16110</v>
      </c>
      <c r="CS11" s="68">
        <v>0</v>
      </c>
      <c r="CT11" s="68">
        <v>0</v>
      </c>
      <c r="CU11" s="68">
        <v>0</v>
      </c>
      <c r="CV11" s="68">
        <v>0</v>
      </c>
      <c r="CW11" s="68">
        <v>0</v>
      </c>
      <c r="CX11" s="68">
        <v>0</v>
      </c>
      <c r="CY11" s="68">
        <v>0</v>
      </c>
      <c r="CZ11" s="68">
        <v>0</v>
      </c>
      <c r="DA11" s="68">
        <v>0</v>
      </c>
      <c r="DB11" s="68">
        <v>0</v>
      </c>
      <c r="DC11" s="68">
        <v>0</v>
      </c>
      <c r="DD11" s="68">
        <v>0</v>
      </c>
      <c r="DE11" s="68">
        <v>0</v>
      </c>
      <c r="DF11" s="68">
        <v>0</v>
      </c>
      <c r="DG11" s="68">
        <v>0</v>
      </c>
      <c r="DH11" s="68">
        <v>0</v>
      </c>
      <c r="DI11" s="68">
        <v>0</v>
      </c>
      <c r="DJ11" s="68">
        <v>0</v>
      </c>
      <c r="DK11" s="68">
        <v>0</v>
      </c>
      <c r="DL11" s="68">
        <v>0</v>
      </c>
      <c r="DM11" s="68">
        <v>0</v>
      </c>
      <c r="DN11" s="68">
        <v>0</v>
      </c>
      <c r="DO11" s="68">
        <v>0</v>
      </c>
      <c r="DP11" s="68">
        <v>0</v>
      </c>
      <c r="DQ11" s="68">
        <v>0</v>
      </c>
      <c r="DR11" s="68">
        <v>0</v>
      </c>
      <c r="DS11" s="68">
        <v>0</v>
      </c>
      <c r="DT11" s="68">
        <v>0</v>
      </c>
      <c r="DU11" s="68">
        <v>0</v>
      </c>
      <c r="DV11" s="68"/>
      <c r="DW11" s="68"/>
      <c r="DX11" s="68"/>
      <c r="DY11" s="68"/>
      <c r="DZ11" s="68"/>
      <c r="EA11" s="63">
        <v>-906097.62</v>
      </c>
      <c r="EB11" s="63">
        <f t="shared" si="0"/>
        <v>-1159133.96</v>
      </c>
      <c r="EC11" s="63">
        <f t="shared" si="3"/>
        <v>1812195.24</v>
      </c>
      <c r="ED11" s="63">
        <f t="shared" si="1"/>
        <v>1323504.49</v>
      </c>
      <c r="EE11" s="63">
        <f t="shared" si="2"/>
        <v>0</v>
      </c>
      <c r="EF11" s="63">
        <f t="shared" si="4"/>
        <v>-286057.39</v>
      </c>
      <c r="EG11" s="63">
        <f t="shared" si="5"/>
        <v>-131349.48</v>
      </c>
    </row>
    <row r="12" spans="1:137">
      <c r="A12" s="57" t="s">
        <v>101</v>
      </c>
      <c r="B12" s="68">
        <v>18717459.08</v>
      </c>
      <c r="C12" s="68">
        <v>0</v>
      </c>
      <c r="D12" s="68">
        <v>17500000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1217459.08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</v>
      </c>
      <c r="AI12" s="68">
        <v>0</v>
      </c>
      <c r="AJ12" s="68">
        <v>0</v>
      </c>
      <c r="AK12" s="68">
        <v>0</v>
      </c>
      <c r="AL12" s="68">
        <v>0</v>
      </c>
      <c r="AM12" s="68">
        <v>0</v>
      </c>
      <c r="AN12" s="68">
        <v>0</v>
      </c>
      <c r="AO12" s="68">
        <v>0</v>
      </c>
      <c r="AP12" s="68">
        <v>0</v>
      </c>
      <c r="AQ12" s="68">
        <v>0</v>
      </c>
      <c r="AR12" s="68">
        <v>0</v>
      </c>
      <c r="AS12" s="68">
        <v>0</v>
      </c>
      <c r="AT12" s="68">
        <v>0</v>
      </c>
      <c r="AU12" s="68">
        <v>0</v>
      </c>
      <c r="AV12" s="68">
        <v>1217459.08</v>
      </c>
      <c r="AW12" s="68">
        <v>0</v>
      </c>
      <c r="AX12" s="68">
        <v>0</v>
      </c>
      <c r="AY12" s="68">
        <v>0</v>
      </c>
      <c r="AZ12" s="68">
        <v>0</v>
      </c>
      <c r="BA12" s="68">
        <v>0</v>
      </c>
      <c r="BB12" s="68">
        <v>0</v>
      </c>
      <c r="BC12" s="68">
        <v>0</v>
      </c>
      <c r="BD12" s="68">
        <v>0</v>
      </c>
      <c r="BE12" s="68">
        <v>0</v>
      </c>
      <c r="BF12" s="68">
        <v>0</v>
      </c>
      <c r="BG12" s="68">
        <v>0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0</v>
      </c>
      <c r="BO12" s="68">
        <v>0</v>
      </c>
      <c r="BP12" s="68">
        <v>0</v>
      </c>
      <c r="BQ12" s="68">
        <v>0</v>
      </c>
      <c r="BR12" s="68">
        <v>0</v>
      </c>
      <c r="BS12" s="68">
        <v>0</v>
      </c>
      <c r="BT12" s="68">
        <v>0</v>
      </c>
      <c r="BU12" s="68">
        <v>0</v>
      </c>
      <c r="BV12" s="68">
        <v>0</v>
      </c>
      <c r="BW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J12" s="68">
        <v>0</v>
      </c>
      <c r="CK12" s="68">
        <v>0</v>
      </c>
      <c r="CL12" s="68">
        <v>0</v>
      </c>
      <c r="CM12" s="68">
        <v>0</v>
      </c>
      <c r="CN12" s="68">
        <v>0</v>
      </c>
      <c r="CO12" s="68">
        <v>0</v>
      </c>
      <c r="CP12" s="68">
        <v>0</v>
      </c>
      <c r="CQ12" s="68">
        <v>0</v>
      </c>
      <c r="CR12" s="68">
        <v>0</v>
      </c>
      <c r="CS12" s="68">
        <v>0</v>
      </c>
      <c r="CT12" s="68">
        <v>0</v>
      </c>
      <c r="CU12" s="68">
        <v>0</v>
      </c>
      <c r="CV12" s="68">
        <v>0</v>
      </c>
      <c r="CW12" s="68">
        <v>0</v>
      </c>
      <c r="CX12" s="68">
        <v>0</v>
      </c>
      <c r="CY12" s="68">
        <v>0</v>
      </c>
      <c r="CZ12" s="68">
        <v>0</v>
      </c>
      <c r="DA12" s="68">
        <v>0</v>
      </c>
      <c r="DB12" s="68">
        <v>0</v>
      </c>
      <c r="DC12" s="68">
        <v>0</v>
      </c>
      <c r="DD12" s="68">
        <v>0</v>
      </c>
      <c r="DE12" s="68">
        <v>0</v>
      </c>
      <c r="DF12" s="68">
        <v>0</v>
      </c>
      <c r="DG12" s="68">
        <v>0</v>
      </c>
      <c r="DH12" s="68">
        <v>0</v>
      </c>
      <c r="DI12" s="68">
        <v>0</v>
      </c>
      <c r="DJ12" s="68">
        <v>0</v>
      </c>
      <c r="DK12" s="68">
        <v>0</v>
      </c>
      <c r="DL12" s="68">
        <v>0</v>
      </c>
      <c r="DM12" s="68">
        <v>0</v>
      </c>
      <c r="DN12" s="68">
        <v>0</v>
      </c>
      <c r="DO12" s="68">
        <v>0</v>
      </c>
      <c r="DP12" s="68">
        <v>0</v>
      </c>
      <c r="DQ12" s="68">
        <v>0</v>
      </c>
      <c r="DR12" s="68">
        <v>0</v>
      </c>
      <c r="DS12" s="68">
        <v>0</v>
      </c>
      <c r="DT12" s="68">
        <v>0</v>
      </c>
      <c r="DU12" s="68">
        <v>0</v>
      </c>
      <c r="DV12" s="68"/>
      <c r="DW12" s="68"/>
      <c r="DX12" s="68"/>
      <c r="DY12" s="68"/>
      <c r="DZ12" s="68"/>
      <c r="EA12" s="63">
        <v>0</v>
      </c>
      <c r="EB12" s="63">
        <f t="shared" si="0"/>
        <v>0</v>
      </c>
      <c r="EC12" s="63">
        <f t="shared" si="3"/>
        <v>0</v>
      </c>
      <c r="ED12" s="63">
        <f t="shared" si="1"/>
        <v>0</v>
      </c>
      <c r="EE12" s="63">
        <f t="shared" si="2"/>
        <v>0</v>
      </c>
      <c r="EF12" s="63">
        <f t="shared" si="4"/>
        <v>0</v>
      </c>
      <c r="EG12" s="63">
        <f t="shared" si="5"/>
        <v>1217459.08</v>
      </c>
    </row>
    <row r="13" s="242" customFormat="1" spans="1:137">
      <c r="A13" s="246" t="s">
        <v>102</v>
      </c>
      <c r="B13" s="68">
        <v>325041108.47</v>
      </c>
      <c r="C13" s="68">
        <v>16005487.41</v>
      </c>
      <c r="D13" s="68">
        <v>25633161.12</v>
      </c>
      <c r="E13" s="68">
        <v>2191063.49</v>
      </c>
      <c r="F13" s="68">
        <v>5506506.89</v>
      </c>
      <c r="G13" s="68">
        <v>6119269.52</v>
      </c>
      <c r="H13" s="68">
        <v>1928095.18</v>
      </c>
      <c r="I13" s="68">
        <v>3719640.81</v>
      </c>
      <c r="J13" s="68">
        <v>0</v>
      </c>
      <c r="K13" s="68">
        <v>639053.2</v>
      </c>
      <c r="L13" s="68">
        <v>2366380.59</v>
      </c>
      <c r="M13" s="68">
        <v>3270065.7</v>
      </c>
      <c r="N13" s="68">
        <v>3068637.06</v>
      </c>
      <c r="O13" s="68">
        <v>5995354.1</v>
      </c>
      <c r="P13" s="68">
        <v>5224228.22</v>
      </c>
      <c r="Q13" s="68">
        <v>12128492.83</v>
      </c>
      <c r="R13" s="68">
        <v>1683784.38</v>
      </c>
      <c r="S13" s="68">
        <v>784878.52</v>
      </c>
      <c r="T13" s="68">
        <v>38743</v>
      </c>
      <c r="U13" s="68">
        <v>0</v>
      </c>
      <c r="V13" s="68">
        <v>0</v>
      </c>
      <c r="W13" s="68">
        <v>17929118.3</v>
      </c>
      <c r="X13" s="68">
        <v>41261571.95</v>
      </c>
      <c r="Y13" s="68">
        <v>14533798.93</v>
      </c>
      <c r="Z13" s="68">
        <v>9279826.28</v>
      </c>
      <c r="AA13" s="68">
        <v>4268618.52</v>
      </c>
      <c r="AB13" s="68">
        <v>2097431.64</v>
      </c>
      <c r="AC13" s="68">
        <v>0</v>
      </c>
      <c r="AD13" s="68">
        <v>7484009.27</v>
      </c>
      <c r="AE13" s="68">
        <v>131883891.56</v>
      </c>
      <c r="AF13" s="68">
        <v>2779927.84</v>
      </c>
      <c r="AG13" s="68">
        <v>1245289.58</v>
      </c>
      <c r="AH13" s="68">
        <v>2411459.82</v>
      </c>
      <c r="AI13" s="68">
        <v>5130796.84</v>
      </c>
      <c r="AJ13" s="68">
        <v>2862894.58</v>
      </c>
      <c r="AK13" s="68">
        <v>2622061.59</v>
      </c>
      <c r="AL13" s="68">
        <v>876688.05</v>
      </c>
      <c r="AM13" s="68">
        <v>4762758.94</v>
      </c>
      <c r="AN13" s="68">
        <v>13260990.42</v>
      </c>
      <c r="AO13" s="68">
        <v>13321803.22</v>
      </c>
      <c r="AP13" s="68">
        <v>6330098.04</v>
      </c>
      <c r="AQ13" s="68">
        <v>2124568.11</v>
      </c>
      <c r="AR13" s="68">
        <v>989491.08</v>
      </c>
      <c r="AS13" s="68">
        <v>471862.14</v>
      </c>
      <c r="AT13" s="68">
        <v>0</v>
      </c>
      <c r="AU13" s="68">
        <v>3952843.84</v>
      </c>
      <c r="AV13" s="68">
        <v>5082175.79</v>
      </c>
      <c r="AW13" s="68">
        <v>3437255.61</v>
      </c>
      <c r="AX13" s="68">
        <v>2061523.69</v>
      </c>
      <c r="AY13" s="68">
        <v>3157443.72</v>
      </c>
      <c r="AZ13" s="68">
        <v>1111174.8</v>
      </c>
      <c r="BA13" s="68">
        <v>3929803.95</v>
      </c>
      <c r="BB13" s="68">
        <v>4376066.19</v>
      </c>
      <c r="BC13" s="68">
        <v>3215987.28</v>
      </c>
      <c r="BD13" s="68">
        <v>3982725.88</v>
      </c>
      <c r="BE13" s="68">
        <v>0</v>
      </c>
      <c r="BF13" s="68">
        <v>116379308.26</v>
      </c>
      <c r="BG13" s="68">
        <v>5101441.33</v>
      </c>
      <c r="BH13" s="68">
        <v>5256998.51</v>
      </c>
      <c r="BI13" s="68">
        <v>6391764.34</v>
      </c>
      <c r="BJ13" s="68">
        <v>4580624.4</v>
      </c>
      <c r="BK13" s="68">
        <v>5027003.87</v>
      </c>
      <c r="BL13" s="68">
        <v>5104125.3</v>
      </c>
      <c r="BM13" s="68">
        <v>2050198.24</v>
      </c>
      <c r="BN13" s="68">
        <v>5364053.71</v>
      </c>
      <c r="BO13" s="68">
        <v>2471887.56</v>
      </c>
      <c r="BP13" s="68">
        <v>2151342.15</v>
      </c>
      <c r="BQ13" s="68">
        <v>5857491.75</v>
      </c>
      <c r="BR13" s="68">
        <v>3338648.08</v>
      </c>
      <c r="BS13" s="68">
        <v>4170554.76</v>
      </c>
      <c r="BT13" s="68">
        <v>2811671.48</v>
      </c>
      <c r="BU13" s="68">
        <v>2236248.97</v>
      </c>
      <c r="BV13" s="68">
        <v>2341333.39</v>
      </c>
      <c r="BW13" s="68">
        <v>2578909.46</v>
      </c>
      <c r="BX13" s="68">
        <v>2848045.11</v>
      </c>
      <c r="BY13" s="68">
        <v>1524302.36</v>
      </c>
      <c r="BZ13" s="68">
        <v>1851353.82</v>
      </c>
      <c r="CA13" s="68">
        <v>2258706.05</v>
      </c>
      <c r="CB13" s="68">
        <v>2837687.13</v>
      </c>
      <c r="CC13" s="68">
        <v>936907.13</v>
      </c>
      <c r="CD13" s="68">
        <v>1085416.86</v>
      </c>
      <c r="CE13" s="68">
        <v>914452.62</v>
      </c>
      <c r="CF13" s="68">
        <v>1353676.21</v>
      </c>
      <c r="CG13" s="68">
        <v>1181941.9</v>
      </c>
      <c r="CH13" s="68">
        <v>1653993.47</v>
      </c>
      <c r="CI13" s="68">
        <v>1063628.84</v>
      </c>
      <c r="CJ13" s="68">
        <v>2803662.05</v>
      </c>
      <c r="CK13" s="68">
        <v>468876.05</v>
      </c>
      <c r="CL13" s="68">
        <v>964477.21</v>
      </c>
      <c r="CM13" s="68">
        <v>482329.48</v>
      </c>
      <c r="CN13" s="68">
        <v>680249.13</v>
      </c>
      <c r="CO13" s="68">
        <v>950628.61</v>
      </c>
      <c r="CP13" s="68">
        <v>1946728.71</v>
      </c>
      <c r="CQ13" s="68">
        <v>1126781.05</v>
      </c>
      <c r="CR13" s="68">
        <v>750914.13</v>
      </c>
      <c r="CS13" s="68">
        <v>525074.43</v>
      </c>
      <c r="CT13" s="68">
        <v>393533.33</v>
      </c>
      <c r="CU13" s="68">
        <v>624013.25</v>
      </c>
      <c r="CV13" s="68">
        <v>445375.53</v>
      </c>
      <c r="CW13" s="68">
        <v>1203189.5</v>
      </c>
      <c r="CX13" s="68">
        <v>654810.58</v>
      </c>
      <c r="CY13" s="68">
        <v>960213.21</v>
      </c>
      <c r="CZ13" s="68">
        <v>592499.98</v>
      </c>
      <c r="DA13" s="68">
        <v>778701.07</v>
      </c>
      <c r="DB13" s="68">
        <v>600758.48</v>
      </c>
      <c r="DC13" s="68">
        <v>817385.04</v>
      </c>
      <c r="DD13" s="68">
        <v>605453.14</v>
      </c>
      <c r="DE13" s="68">
        <v>824781.28</v>
      </c>
      <c r="DF13" s="68">
        <v>572681.05</v>
      </c>
      <c r="DG13" s="68">
        <v>562377.61</v>
      </c>
      <c r="DH13" s="68">
        <v>518055.76</v>
      </c>
      <c r="DI13" s="68">
        <v>395649.81</v>
      </c>
      <c r="DJ13" s="68">
        <v>510094.55</v>
      </c>
      <c r="DK13" s="68">
        <v>759685.39</v>
      </c>
      <c r="DL13" s="68">
        <v>501260.43</v>
      </c>
      <c r="DM13" s="68">
        <v>674874.03</v>
      </c>
      <c r="DN13" s="68">
        <v>928788.04</v>
      </c>
      <c r="DO13" s="68">
        <v>1543183.65</v>
      </c>
      <c r="DP13" s="68">
        <v>1258627.41</v>
      </c>
      <c r="DQ13" s="68">
        <v>615240.86</v>
      </c>
      <c r="DR13" s="68">
        <v>416734.98</v>
      </c>
      <c r="DS13" s="68">
        <v>982885.92</v>
      </c>
      <c r="DT13" s="68">
        <v>594324.73</v>
      </c>
      <c r="DU13" s="68">
        <v>0</v>
      </c>
      <c r="DV13" s="251"/>
      <c r="DW13" s="251"/>
      <c r="DX13" s="251"/>
      <c r="DY13" s="251"/>
      <c r="DZ13" s="251"/>
      <c r="EA13" s="242">
        <v>-131883891.56</v>
      </c>
      <c r="EB13" s="242">
        <f t="shared" si="0"/>
        <v>9131748.83</v>
      </c>
      <c r="EC13" s="242">
        <f t="shared" si="3"/>
        <v>232164291.79</v>
      </c>
      <c r="ED13" s="242">
        <f t="shared" si="1"/>
        <v>148936321.81</v>
      </c>
      <c r="EE13" s="242">
        <f t="shared" si="2"/>
        <v>-4060858.87</v>
      </c>
      <c r="EF13" s="63">
        <f t="shared" si="4"/>
        <v>24209141.7</v>
      </c>
      <c r="EG13" s="63">
        <f t="shared" si="5"/>
        <v>-28789296.71</v>
      </c>
    </row>
    <row r="14" spans="1:137">
      <c r="A14" s="57" t="s">
        <v>104</v>
      </c>
      <c r="B14" s="68">
        <v>106768217.3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3400</v>
      </c>
      <c r="X14" s="68">
        <v>77388394.03</v>
      </c>
      <c r="Y14" s="68">
        <v>514548</v>
      </c>
      <c r="Z14" s="68">
        <v>215950</v>
      </c>
      <c r="AA14" s="68">
        <v>0</v>
      </c>
      <c r="AB14" s="68">
        <v>0</v>
      </c>
      <c r="AC14" s="68">
        <v>0</v>
      </c>
      <c r="AD14" s="68">
        <v>0</v>
      </c>
      <c r="AE14" s="68">
        <v>28645925.27</v>
      </c>
      <c r="AF14" s="68">
        <v>0</v>
      </c>
      <c r="AG14" s="68">
        <v>0</v>
      </c>
      <c r="AH14" s="68">
        <v>0</v>
      </c>
      <c r="AI14" s="68">
        <v>0</v>
      </c>
      <c r="AJ14" s="68">
        <v>3400</v>
      </c>
      <c r="AK14" s="68">
        <v>0</v>
      </c>
      <c r="AL14" s="68">
        <v>0</v>
      </c>
      <c r="AM14" s="68">
        <v>0</v>
      </c>
      <c r="AN14" s="68">
        <v>69468624.31</v>
      </c>
      <c r="AO14" s="68">
        <v>6082591.72</v>
      </c>
      <c r="AP14" s="68">
        <v>1575963</v>
      </c>
      <c r="AQ14" s="68">
        <v>261215</v>
      </c>
      <c r="AR14" s="68">
        <v>0</v>
      </c>
      <c r="AS14" s="68">
        <v>0</v>
      </c>
      <c r="AT14" s="68">
        <v>0</v>
      </c>
      <c r="AU14" s="68">
        <v>0</v>
      </c>
      <c r="AV14" s="68">
        <v>514548</v>
      </c>
      <c r="AW14" s="68">
        <v>0</v>
      </c>
      <c r="AX14" s="68">
        <v>0</v>
      </c>
      <c r="AY14" s="68">
        <v>0</v>
      </c>
      <c r="AZ14" s="68">
        <v>0</v>
      </c>
      <c r="BA14" s="68">
        <v>156147.59</v>
      </c>
      <c r="BB14" s="68">
        <v>-2917.04</v>
      </c>
      <c r="BC14" s="68">
        <v>0</v>
      </c>
      <c r="BD14" s="68">
        <v>3768.45</v>
      </c>
      <c r="BE14" s="68">
        <v>0</v>
      </c>
      <c r="BF14" s="68">
        <v>28488926.27</v>
      </c>
      <c r="BG14" s="68">
        <v>1516815.11</v>
      </c>
      <c r="BH14" s="68">
        <v>2211529.69</v>
      </c>
      <c r="BI14" s="68">
        <v>2000152.33</v>
      </c>
      <c r="BJ14" s="68">
        <v>1425320.8</v>
      </c>
      <c r="BK14" s="68">
        <v>1548699.74</v>
      </c>
      <c r="BL14" s="68">
        <v>1342808.58</v>
      </c>
      <c r="BM14" s="68">
        <v>779716.11</v>
      </c>
      <c r="BN14" s="68">
        <v>2184556.75</v>
      </c>
      <c r="BO14" s="68">
        <v>407228.98</v>
      </c>
      <c r="BP14" s="68">
        <v>218707.22</v>
      </c>
      <c r="BQ14" s="68">
        <v>1675444.27</v>
      </c>
      <c r="BR14" s="68">
        <v>991593.09</v>
      </c>
      <c r="BS14" s="68">
        <v>986911.75</v>
      </c>
      <c r="BT14" s="68">
        <v>411487.35</v>
      </c>
      <c r="BU14" s="68">
        <v>465108.98</v>
      </c>
      <c r="BV14" s="68">
        <v>506599.31</v>
      </c>
      <c r="BW14" s="68">
        <v>618734.5</v>
      </c>
      <c r="BX14" s="68">
        <v>937655.81</v>
      </c>
      <c r="BY14" s="68">
        <v>298968.27</v>
      </c>
      <c r="BZ14" s="68">
        <v>403885.93</v>
      </c>
      <c r="CA14" s="68">
        <v>541243.55</v>
      </c>
      <c r="CB14" s="68">
        <v>597868.81</v>
      </c>
      <c r="CC14" s="68">
        <v>107048.47</v>
      </c>
      <c r="CD14" s="68">
        <v>189794.18</v>
      </c>
      <c r="CE14" s="68">
        <v>98658.55</v>
      </c>
      <c r="CF14" s="68">
        <v>610380.78</v>
      </c>
      <c r="CG14" s="68">
        <v>232002.51</v>
      </c>
      <c r="CH14" s="68">
        <v>436676.93</v>
      </c>
      <c r="CI14" s="68">
        <v>351762.17</v>
      </c>
      <c r="CJ14" s="68">
        <v>304965.9</v>
      </c>
      <c r="CK14" s="68">
        <v>69213.32</v>
      </c>
      <c r="CL14" s="68">
        <v>229111.04</v>
      </c>
      <c r="CM14" s="68">
        <v>158753.77</v>
      </c>
      <c r="CN14" s="68">
        <v>216149.24</v>
      </c>
      <c r="CO14" s="68">
        <v>72497.29</v>
      </c>
      <c r="CP14" s="68">
        <v>886878.05</v>
      </c>
      <c r="CQ14" s="68">
        <v>286555.75</v>
      </c>
      <c r="CR14" s="68">
        <v>24328.25</v>
      </c>
      <c r="CS14" s="68">
        <v>28373.58</v>
      </c>
      <c r="CT14" s="68">
        <v>322013.46</v>
      </c>
      <c r="CU14" s="68">
        <v>32666.17</v>
      </c>
      <c r="CV14" s="68">
        <v>103918.2</v>
      </c>
      <c r="CW14" s="68">
        <v>15311.18</v>
      </c>
      <c r="CX14" s="68">
        <v>37517.12</v>
      </c>
      <c r="CY14" s="68">
        <v>28051.24</v>
      </c>
      <c r="CZ14" s="68">
        <v>62884.65</v>
      </c>
      <c r="DA14" s="68">
        <v>33888.96</v>
      </c>
      <c r="DB14" s="68">
        <v>5981.24</v>
      </c>
      <c r="DC14" s="68">
        <v>49286.36</v>
      </c>
      <c r="DD14" s="68">
        <v>43198.76</v>
      </c>
      <c r="DE14" s="68">
        <v>66937.25</v>
      </c>
      <c r="DF14" s="68">
        <v>21144.41</v>
      </c>
      <c r="DG14" s="68">
        <v>25356.63</v>
      </c>
      <c r="DH14" s="68">
        <v>148464.35</v>
      </c>
      <c r="DI14" s="68">
        <v>12479.14</v>
      </c>
      <c r="DJ14" s="68">
        <v>17439.66</v>
      </c>
      <c r="DK14" s="68">
        <v>186589.5</v>
      </c>
      <c r="DL14" s="68">
        <v>28189.59</v>
      </c>
      <c r="DM14" s="68">
        <v>62574.64</v>
      </c>
      <c r="DN14" s="68">
        <v>120181.9</v>
      </c>
      <c r="DO14" s="68">
        <v>488844.93</v>
      </c>
      <c r="DP14" s="68">
        <v>82842.76</v>
      </c>
      <c r="DQ14" s="68">
        <v>11808.6</v>
      </c>
      <c r="DR14" s="68">
        <v>9084.35</v>
      </c>
      <c r="DS14" s="68">
        <v>72638.99</v>
      </c>
      <c r="DT14" s="68">
        <v>25445.52</v>
      </c>
      <c r="DU14" s="68">
        <v>0</v>
      </c>
      <c r="DV14" s="68"/>
      <c r="DW14" s="68"/>
      <c r="DX14" s="68"/>
      <c r="DY14" s="68"/>
      <c r="DZ14" s="68"/>
      <c r="EA14" s="63">
        <v>-28645925.27</v>
      </c>
      <c r="EB14" s="63">
        <f t="shared" si="0"/>
        <v>156999</v>
      </c>
      <c r="EC14" s="63">
        <f t="shared" si="3"/>
        <v>56952407.02</v>
      </c>
      <c r="ED14" s="63">
        <f t="shared" si="1"/>
        <v>28649325.27</v>
      </c>
      <c r="EE14" s="63">
        <f t="shared" si="2"/>
        <v>-215950</v>
      </c>
      <c r="EF14" s="63">
        <f t="shared" si="4"/>
        <v>77384994.03</v>
      </c>
      <c r="EG14" s="63">
        <f t="shared" si="5"/>
        <v>-76873846.03</v>
      </c>
    </row>
    <row r="15" spans="1:137">
      <c r="A15" s="57" t="s">
        <v>105</v>
      </c>
      <c r="B15" s="68">
        <v>68087630.73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4489149.37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13236.87</v>
      </c>
      <c r="AE15" s="68">
        <v>63585244.49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791537.1</v>
      </c>
      <c r="AO15" s="68">
        <v>2731704.85</v>
      </c>
      <c r="AP15" s="68">
        <v>745041</v>
      </c>
      <c r="AQ15" s="68">
        <v>220866.42</v>
      </c>
      <c r="AR15" s="68">
        <v>0</v>
      </c>
      <c r="AS15" s="68">
        <v>0</v>
      </c>
      <c r="AT15" s="68">
        <v>0</v>
      </c>
      <c r="AU15" s="68">
        <v>0</v>
      </c>
      <c r="AV15" s="68">
        <v>0</v>
      </c>
      <c r="AW15" s="68">
        <v>0</v>
      </c>
      <c r="AX15" s="68">
        <v>0</v>
      </c>
      <c r="AY15" s="68">
        <v>0</v>
      </c>
      <c r="AZ15" s="68">
        <v>0</v>
      </c>
      <c r="BA15" s="68">
        <v>61840231.57</v>
      </c>
      <c r="BB15" s="68">
        <v>0</v>
      </c>
      <c r="BC15" s="68">
        <v>0</v>
      </c>
      <c r="BD15" s="68">
        <v>0</v>
      </c>
      <c r="BE15" s="68">
        <v>0</v>
      </c>
      <c r="BF15" s="68">
        <v>1745012.92</v>
      </c>
      <c r="BG15" s="68">
        <v>0</v>
      </c>
      <c r="BH15" s="68">
        <v>0</v>
      </c>
      <c r="BI15" s="68">
        <v>0</v>
      </c>
      <c r="BJ15" s="68">
        <v>1162231.26</v>
      </c>
      <c r="BK15" s="68">
        <v>0</v>
      </c>
      <c r="BL15" s="68">
        <v>0</v>
      </c>
      <c r="BM15" s="68">
        <v>0</v>
      </c>
      <c r="BN15" s="68">
        <v>0</v>
      </c>
      <c r="BO15" s="68">
        <v>0</v>
      </c>
      <c r="BP15" s="68">
        <v>0</v>
      </c>
      <c r="BQ15" s="68">
        <v>0</v>
      </c>
      <c r="BR15" s="68">
        <v>4560</v>
      </c>
      <c r="BS15" s="68">
        <v>0</v>
      </c>
      <c r="BT15" s="68">
        <v>0</v>
      </c>
      <c r="BU15" s="68">
        <v>0</v>
      </c>
      <c r="BV15" s="68">
        <v>0</v>
      </c>
      <c r="BW15" s="68">
        <v>0</v>
      </c>
      <c r="BX15" s="68">
        <v>0</v>
      </c>
      <c r="BY15" s="68">
        <v>0</v>
      </c>
      <c r="BZ15" s="68">
        <v>0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</v>
      </c>
      <c r="CH15" s="68">
        <v>0</v>
      </c>
      <c r="CI15" s="68">
        <v>0</v>
      </c>
      <c r="CJ15" s="68">
        <v>212081.17</v>
      </c>
      <c r="CK15" s="68">
        <v>0</v>
      </c>
      <c r="CL15" s="68">
        <v>0</v>
      </c>
      <c r="CM15" s="68">
        <v>0</v>
      </c>
      <c r="CN15" s="68">
        <v>0</v>
      </c>
      <c r="CO15" s="68">
        <v>0</v>
      </c>
      <c r="CP15" s="68">
        <v>0</v>
      </c>
      <c r="CQ15" s="68">
        <v>490</v>
      </c>
      <c r="CR15" s="68">
        <v>0</v>
      </c>
      <c r="CS15" s="68">
        <v>0</v>
      </c>
      <c r="CT15" s="68">
        <v>0</v>
      </c>
      <c r="CU15" s="68">
        <v>0</v>
      </c>
      <c r="CV15" s="68">
        <v>0</v>
      </c>
      <c r="CW15" s="68">
        <v>365650.49</v>
      </c>
      <c r="CX15" s="68">
        <v>0</v>
      </c>
      <c r="CY15" s="68">
        <v>0</v>
      </c>
      <c r="CZ15" s="68">
        <v>0</v>
      </c>
      <c r="DA15" s="68">
        <v>0</v>
      </c>
      <c r="DB15" s="68">
        <v>0</v>
      </c>
      <c r="DC15" s="68">
        <v>0</v>
      </c>
      <c r="DD15" s="68">
        <v>0</v>
      </c>
      <c r="DE15" s="68">
        <v>0</v>
      </c>
      <c r="DF15" s="68">
        <v>0</v>
      </c>
      <c r="DG15" s="68">
        <v>0</v>
      </c>
      <c r="DH15" s="68">
        <v>0</v>
      </c>
      <c r="DI15" s="68">
        <v>0</v>
      </c>
      <c r="DJ15" s="68">
        <v>0</v>
      </c>
      <c r="DK15" s="68">
        <v>0</v>
      </c>
      <c r="DL15" s="68">
        <v>0</v>
      </c>
      <c r="DM15" s="68">
        <v>0</v>
      </c>
      <c r="DN15" s="68">
        <v>0</v>
      </c>
      <c r="DO15" s="68">
        <v>0</v>
      </c>
      <c r="DP15" s="68">
        <v>0</v>
      </c>
      <c r="DQ15" s="68">
        <v>0</v>
      </c>
      <c r="DR15" s="68">
        <v>0</v>
      </c>
      <c r="DS15" s="68">
        <v>0</v>
      </c>
      <c r="DT15" s="68">
        <v>0</v>
      </c>
      <c r="DU15" s="68">
        <v>0</v>
      </c>
      <c r="DV15" s="68"/>
      <c r="DW15" s="68"/>
      <c r="DX15" s="68"/>
      <c r="DY15" s="68"/>
      <c r="DZ15" s="68"/>
      <c r="EA15" s="63">
        <v>-63585244.49</v>
      </c>
      <c r="EB15" s="63">
        <f t="shared" si="0"/>
        <v>61826994.7</v>
      </c>
      <c r="EC15" s="63">
        <f t="shared" si="3"/>
        <v>3490025.84</v>
      </c>
      <c r="ED15" s="63">
        <f t="shared" si="1"/>
        <v>63585244.49</v>
      </c>
      <c r="EE15" s="63">
        <f t="shared" si="2"/>
        <v>0</v>
      </c>
      <c r="EF15" s="63">
        <f t="shared" si="4"/>
        <v>4489149.37</v>
      </c>
      <c r="EG15" s="63">
        <f t="shared" si="5"/>
        <v>-4489149.37</v>
      </c>
    </row>
    <row r="16" spans="1:137">
      <c r="A16" s="57" t="s">
        <v>106</v>
      </c>
      <c r="B16" s="68">
        <v>20379642.35</v>
      </c>
      <c r="C16" s="68">
        <v>0</v>
      </c>
      <c r="D16" s="68">
        <v>-4726732.02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63161.8</v>
      </c>
      <c r="W16" s="68">
        <v>4230823.9</v>
      </c>
      <c r="X16" s="68">
        <v>4955489.82</v>
      </c>
      <c r="Y16" s="68">
        <v>-177854.95</v>
      </c>
      <c r="Z16" s="68">
        <v>0</v>
      </c>
      <c r="AA16" s="68">
        <v>15.43</v>
      </c>
      <c r="AB16" s="68">
        <v>9.49</v>
      </c>
      <c r="AC16" s="68">
        <v>0</v>
      </c>
      <c r="AD16" s="68">
        <v>2.99</v>
      </c>
      <c r="AE16" s="68">
        <v>16034725.89</v>
      </c>
      <c r="AF16" s="68">
        <v>155.78</v>
      </c>
      <c r="AG16" s="68">
        <v>966496.13</v>
      </c>
      <c r="AH16" s="68">
        <v>705020.85</v>
      </c>
      <c r="AI16" s="68">
        <v>1105602.23</v>
      </c>
      <c r="AJ16" s="68">
        <v>-186408.88</v>
      </c>
      <c r="AK16" s="68">
        <v>1564981.82</v>
      </c>
      <c r="AL16" s="68">
        <v>74975.97</v>
      </c>
      <c r="AM16" s="68">
        <v>9344.96</v>
      </c>
      <c r="AN16" s="68">
        <v>3997832.51</v>
      </c>
      <c r="AO16" s="68">
        <v>497090.02</v>
      </c>
      <c r="AP16" s="68">
        <v>383852.94</v>
      </c>
      <c r="AQ16" s="68">
        <v>67369.39</v>
      </c>
      <c r="AR16" s="68">
        <v>0</v>
      </c>
      <c r="AS16" s="68">
        <v>0</v>
      </c>
      <c r="AT16" s="68">
        <v>0</v>
      </c>
      <c r="AU16" s="68">
        <v>82977.01</v>
      </c>
      <c r="AV16" s="68">
        <v>232760.04</v>
      </c>
      <c r="AW16" s="68">
        <v>-794605.5</v>
      </c>
      <c r="AX16" s="68">
        <v>301013.5</v>
      </c>
      <c r="AY16" s="68">
        <v>15.43</v>
      </c>
      <c r="AZ16" s="68">
        <v>0</v>
      </c>
      <c r="BA16" s="68">
        <v>99275.61</v>
      </c>
      <c r="BB16" s="68">
        <v>6361.51</v>
      </c>
      <c r="BC16" s="68">
        <v>6618621.32</v>
      </c>
      <c r="BD16" s="68">
        <v>211.73</v>
      </c>
      <c r="BE16" s="68">
        <v>0</v>
      </c>
      <c r="BF16" s="68">
        <v>9310255.72</v>
      </c>
      <c r="BG16" s="68">
        <v>389742.99</v>
      </c>
      <c r="BH16" s="68">
        <v>444828.98</v>
      </c>
      <c r="BI16" s="68">
        <v>408504.08</v>
      </c>
      <c r="BJ16" s="68">
        <v>347042.64</v>
      </c>
      <c r="BK16" s="68">
        <v>456496.82</v>
      </c>
      <c r="BL16" s="68">
        <v>403903.19</v>
      </c>
      <c r="BM16" s="68">
        <v>134227.37</v>
      </c>
      <c r="BN16" s="68">
        <v>479664.95</v>
      </c>
      <c r="BO16" s="68">
        <v>179499.85</v>
      </c>
      <c r="BP16" s="68">
        <v>132419.54</v>
      </c>
      <c r="BQ16" s="68">
        <v>388210.48</v>
      </c>
      <c r="BR16" s="68">
        <v>1374289.89</v>
      </c>
      <c r="BS16" s="68">
        <v>196326.47</v>
      </c>
      <c r="BT16" s="68">
        <v>156710.44</v>
      </c>
      <c r="BU16" s="68">
        <v>131987.18</v>
      </c>
      <c r="BV16" s="68">
        <v>124740.37</v>
      </c>
      <c r="BW16" s="68">
        <v>125685.54</v>
      </c>
      <c r="BX16" s="68">
        <v>139821.5</v>
      </c>
      <c r="BY16" s="68">
        <v>122733.65</v>
      </c>
      <c r="BZ16" s="68">
        <v>78228.46</v>
      </c>
      <c r="CA16" s="68">
        <v>107798.24</v>
      </c>
      <c r="CB16" s="68">
        <v>150020.47</v>
      </c>
      <c r="CC16" s="68">
        <v>46873.5</v>
      </c>
      <c r="CD16" s="68">
        <v>62359.87</v>
      </c>
      <c r="CE16" s="68">
        <v>31257.17</v>
      </c>
      <c r="CF16" s="68">
        <v>54104.16</v>
      </c>
      <c r="CG16" s="68">
        <v>28796.95</v>
      </c>
      <c r="CH16" s="68">
        <v>68837.49</v>
      </c>
      <c r="CI16" s="68">
        <v>36254.62</v>
      </c>
      <c r="CJ16" s="68">
        <v>3950.65</v>
      </c>
      <c r="CK16" s="68">
        <v>12013.86</v>
      </c>
      <c r="CL16" s="68">
        <v>29742.2</v>
      </c>
      <c r="CM16" s="68">
        <v>20457.75</v>
      </c>
      <c r="CN16" s="68">
        <v>22770.33</v>
      </c>
      <c r="CO16" s="68">
        <v>40039.68</v>
      </c>
      <c r="CP16" s="68">
        <v>71791.22</v>
      </c>
      <c r="CQ16" s="68">
        <v>1895359.09</v>
      </c>
      <c r="CR16" s="68">
        <v>13586.33</v>
      </c>
      <c r="CS16" s="68">
        <v>6063.45</v>
      </c>
      <c r="CT16" s="68">
        <v>7205.13</v>
      </c>
      <c r="CU16" s="68">
        <v>11024.55</v>
      </c>
      <c r="CV16" s="68">
        <v>32661.28</v>
      </c>
      <c r="CW16" s="68">
        <v>18369.13</v>
      </c>
      <c r="CX16" s="68">
        <v>12249.06</v>
      </c>
      <c r="CY16" s="68">
        <v>7017.38</v>
      </c>
      <c r="CZ16" s="68">
        <v>3903.5</v>
      </c>
      <c r="DA16" s="68">
        <v>10342.35</v>
      </c>
      <c r="DB16" s="68">
        <v>2446.88</v>
      </c>
      <c r="DC16" s="68">
        <v>7699.43</v>
      </c>
      <c r="DD16" s="68">
        <v>7072.36</v>
      </c>
      <c r="DE16" s="68">
        <v>10449.45</v>
      </c>
      <c r="DF16" s="68">
        <v>17213.43</v>
      </c>
      <c r="DG16" s="68">
        <v>8522.28</v>
      </c>
      <c r="DH16" s="68">
        <v>9541.31</v>
      </c>
      <c r="DI16" s="68">
        <v>1615.01</v>
      </c>
      <c r="DJ16" s="68">
        <v>1182.59</v>
      </c>
      <c r="DK16" s="68">
        <v>5323.39</v>
      </c>
      <c r="DL16" s="68">
        <v>2312.87</v>
      </c>
      <c r="DM16" s="68">
        <v>4479.6</v>
      </c>
      <c r="DN16" s="68">
        <v>18804.59</v>
      </c>
      <c r="DO16" s="68">
        <v>64790.34</v>
      </c>
      <c r="DP16" s="68">
        <v>29249.37</v>
      </c>
      <c r="DQ16" s="68">
        <v>5152.96</v>
      </c>
      <c r="DR16" s="68">
        <v>3998.29</v>
      </c>
      <c r="DS16" s="68">
        <v>77441.87</v>
      </c>
      <c r="DT16" s="68">
        <v>13045.9</v>
      </c>
      <c r="DU16" s="68">
        <v>0</v>
      </c>
      <c r="DV16" s="68"/>
      <c r="DW16" s="68"/>
      <c r="DX16" s="68"/>
      <c r="DY16" s="68"/>
      <c r="DZ16" s="68"/>
      <c r="EA16" s="63">
        <v>-16034725.89</v>
      </c>
      <c r="EB16" s="63">
        <f t="shared" si="0"/>
        <v>6724467.18</v>
      </c>
      <c r="EC16" s="63">
        <f t="shared" si="3"/>
        <v>18607465.54</v>
      </c>
      <c r="ED16" s="63">
        <f t="shared" si="1"/>
        <v>20127412.02</v>
      </c>
      <c r="EE16" s="63">
        <f t="shared" si="2"/>
        <v>301028.93</v>
      </c>
      <c r="EF16" s="63">
        <f t="shared" si="4"/>
        <v>799641.89</v>
      </c>
      <c r="EG16" s="63">
        <f t="shared" si="5"/>
        <v>-5434358.27</v>
      </c>
    </row>
    <row r="17" spans="1:137">
      <c r="A17" s="57" t="s">
        <v>107</v>
      </c>
      <c r="B17" s="68">
        <v>739699.23</v>
      </c>
      <c r="C17" s="68">
        <v>0</v>
      </c>
      <c r="D17" s="68">
        <v>348900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2775</v>
      </c>
      <c r="AB17" s="68">
        <v>0</v>
      </c>
      <c r="AC17" s="68">
        <v>0</v>
      </c>
      <c r="AD17" s="68">
        <v>0</v>
      </c>
      <c r="AE17" s="68">
        <v>388024.23</v>
      </c>
      <c r="AF17" s="68">
        <v>0</v>
      </c>
      <c r="AG17" s="68">
        <v>0</v>
      </c>
      <c r="AH17" s="68">
        <v>0</v>
      </c>
      <c r="AI17" s="68">
        <v>0</v>
      </c>
      <c r="AJ17" s="68">
        <v>0</v>
      </c>
      <c r="AK17" s="68">
        <v>0</v>
      </c>
      <c r="AL17" s="68">
        <v>0</v>
      </c>
      <c r="AM17" s="68">
        <v>0</v>
      </c>
      <c r="AN17" s="68">
        <v>0</v>
      </c>
      <c r="AO17" s="68">
        <v>0</v>
      </c>
      <c r="AP17" s="68">
        <v>0</v>
      </c>
      <c r="AQ17" s="68">
        <v>0</v>
      </c>
      <c r="AR17" s="68">
        <v>0</v>
      </c>
      <c r="AS17" s="68">
        <v>0</v>
      </c>
      <c r="AT17" s="68">
        <v>0</v>
      </c>
      <c r="AU17" s="68">
        <v>0</v>
      </c>
      <c r="AV17" s="68">
        <v>0</v>
      </c>
      <c r="AW17" s="68">
        <v>0</v>
      </c>
      <c r="AX17" s="68">
        <v>0</v>
      </c>
      <c r="AY17" s="68">
        <v>2775</v>
      </c>
      <c r="AZ17" s="68">
        <v>0</v>
      </c>
      <c r="BA17" s="68">
        <v>0</v>
      </c>
      <c r="BB17" s="68">
        <v>0</v>
      </c>
      <c r="BC17" s="68">
        <v>0</v>
      </c>
      <c r="BD17" s="68">
        <v>0</v>
      </c>
      <c r="BE17" s="68">
        <v>0</v>
      </c>
      <c r="BF17" s="68">
        <v>388024.23</v>
      </c>
      <c r="BG17" s="68">
        <v>0</v>
      </c>
      <c r="BH17" s="68">
        <v>0</v>
      </c>
      <c r="BI17" s="68">
        <v>0</v>
      </c>
      <c r="BJ17" s="68">
        <v>0</v>
      </c>
      <c r="BK17" s="68">
        <v>39906.64</v>
      </c>
      <c r="BL17" s="68">
        <v>28472.87</v>
      </c>
      <c r="BM17" s="68">
        <v>0</v>
      </c>
      <c r="BN17" s="68">
        <v>0</v>
      </c>
      <c r="BO17" s="68">
        <v>31901.69</v>
      </c>
      <c r="BP17" s="68">
        <v>25800.61</v>
      </c>
      <c r="BQ17" s="68">
        <v>92446.35</v>
      </c>
      <c r="BR17" s="68">
        <v>32698.4</v>
      </c>
      <c r="BS17" s="68">
        <v>9783.48</v>
      </c>
      <c r="BT17" s="68">
        <v>8459.58</v>
      </c>
      <c r="BU17" s="68">
        <v>3608.61</v>
      </c>
      <c r="BV17" s="68">
        <v>3592.27</v>
      </c>
      <c r="BW17" s="68">
        <v>10000</v>
      </c>
      <c r="BX17" s="68">
        <v>3909.47</v>
      </c>
      <c r="BY17" s="68">
        <v>37755.32</v>
      </c>
      <c r="BZ17" s="68">
        <v>3457.04</v>
      </c>
      <c r="CA17" s="68">
        <v>1112.11</v>
      </c>
      <c r="CB17" s="68">
        <v>22783.89</v>
      </c>
      <c r="CC17" s="68">
        <v>0</v>
      </c>
      <c r="CD17" s="68">
        <v>3035.7</v>
      </c>
      <c r="CE17" s="68">
        <v>10630.04</v>
      </c>
      <c r="CF17" s="68">
        <v>2026.87</v>
      </c>
      <c r="CG17" s="68">
        <v>1795.92</v>
      </c>
      <c r="CH17" s="68">
        <v>0</v>
      </c>
      <c r="CI17" s="68">
        <v>4960.69</v>
      </c>
      <c r="CJ17" s="68">
        <v>0</v>
      </c>
      <c r="CK17" s="68">
        <v>990</v>
      </c>
      <c r="CL17" s="68">
        <v>0</v>
      </c>
      <c r="CM17" s="68">
        <v>0</v>
      </c>
      <c r="CN17" s="68">
        <v>1915.05</v>
      </c>
      <c r="CO17" s="68">
        <v>0</v>
      </c>
      <c r="CP17" s="68">
        <v>563.66</v>
      </c>
      <c r="CQ17" s="68">
        <v>0</v>
      </c>
      <c r="CR17" s="68">
        <v>407.35</v>
      </c>
      <c r="CS17" s="68">
        <v>0</v>
      </c>
      <c r="CT17" s="68">
        <v>0</v>
      </c>
      <c r="CU17" s="68">
        <v>0</v>
      </c>
      <c r="CV17" s="68">
        <v>2109.66</v>
      </c>
      <c r="CW17" s="68">
        <v>0</v>
      </c>
      <c r="CX17" s="68">
        <v>0</v>
      </c>
      <c r="CY17" s="68">
        <v>0</v>
      </c>
      <c r="CZ17" s="68">
        <v>0</v>
      </c>
      <c r="DA17" s="68">
        <v>0</v>
      </c>
      <c r="DB17" s="68">
        <v>0</v>
      </c>
      <c r="DC17" s="68">
        <v>1653.22</v>
      </c>
      <c r="DD17" s="68">
        <v>0</v>
      </c>
      <c r="DE17" s="68">
        <v>0</v>
      </c>
      <c r="DF17" s="68">
        <v>190.6</v>
      </c>
      <c r="DG17" s="68">
        <v>0</v>
      </c>
      <c r="DH17" s="68">
        <v>0</v>
      </c>
      <c r="DI17" s="68">
        <v>0</v>
      </c>
      <c r="DJ17" s="68">
        <v>0</v>
      </c>
      <c r="DK17" s="68">
        <v>0</v>
      </c>
      <c r="DL17" s="68">
        <v>0</v>
      </c>
      <c r="DM17" s="68">
        <v>0</v>
      </c>
      <c r="DN17" s="68">
        <v>1458</v>
      </c>
      <c r="DO17" s="68">
        <v>0</v>
      </c>
      <c r="DP17" s="68">
        <v>0</v>
      </c>
      <c r="DQ17" s="68">
        <v>0</v>
      </c>
      <c r="DR17" s="68">
        <v>200</v>
      </c>
      <c r="DS17" s="68">
        <v>0</v>
      </c>
      <c r="DT17" s="68">
        <v>399.14</v>
      </c>
      <c r="DU17" s="68">
        <v>0</v>
      </c>
      <c r="DV17" s="68"/>
      <c r="DW17" s="68"/>
      <c r="DX17" s="68"/>
      <c r="DY17" s="68"/>
      <c r="DZ17" s="68"/>
      <c r="EA17" s="63">
        <v>-388024.23</v>
      </c>
      <c r="EB17" s="63">
        <f t="shared" si="0"/>
        <v>0</v>
      </c>
      <c r="EC17" s="63">
        <f t="shared" si="3"/>
        <v>775649.32</v>
      </c>
      <c r="ED17" s="63">
        <f t="shared" si="1"/>
        <v>388024.23</v>
      </c>
      <c r="EE17" s="63">
        <f t="shared" si="2"/>
        <v>2775</v>
      </c>
      <c r="EF17" s="63">
        <f t="shared" si="4"/>
        <v>0</v>
      </c>
      <c r="EG17" s="63">
        <f t="shared" si="5"/>
        <v>0</v>
      </c>
    </row>
    <row r="18" spans="1:137">
      <c r="A18" s="57" t="s">
        <v>108</v>
      </c>
      <c r="B18" s="68">
        <v>14069543.86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410671.02</v>
      </c>
      <c r="X18" s="68">
        <v>0</v>
      </c>
      <c r="Y18" s="68">
        <v>766245.8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12892627.04</v>
      </c>
      <c r="AF18" s="68">
        <v>0</v>
      </c>
      <c r="AG18" s="68">
        <v>48333.34</v>
      </c>
      <c r="AH18" s="68">
        <v>44937.1</v>
      </c>
      <c r="AI18" s="68">
        <v>163102.45</v>
      </c>
      <c r="AJ18" s="68">
        <v>75661.58</v>
      </c>
      <c r="AK18" s="68">
        <v>60303.22</v>
      </c>
      <c r="AL18" s="68">
        <v>18333.33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</v>
      </c>
      <c r="AT18" s="68">
        <v>0</v>
      </c>
      <c r="AU18" s="68">
        <v>99757.74</v>
      </c>
      <c r="AV18" s="68">
        <v>666488.06</v>
      </c>
      <c r="AW18" s="68">
        <v>0</v>
      </c>
      <c r="AX18" s="68">
        <v>0</v>
      </c>
      <c r="AY18" s="68">
        <v>0</v>
      </c>
      <c r="AZ18" s="68">
        <v>0</v>
      </c>
      <c r="BA18" s="68">
        <v>417722.23</v>
      </c>
      <c r="BB18" s="68">
        <v>0</v>
      </c>
      <c r="BC18" s="68">
        <v>122853.96</v>
      </c>
      <c r="BD18" s="68">
        <v>28667.92</v>
      </c>
      <c r="BE18" s="68">
        <v>0</v>
      </c>
      <c r="BF18" s="68">
        <v>12323382.93</v>
      </c>
      <c r="BG18" s="68">
        <v>409356.81</v>
      </c>
      <c r="BH18" s="68">
        <v>308423.22</v>
      </c>
      <c r="BI18" s="68">
        <v>358204.63</v>
      </c>
      <c r="BJ18" s="68">
        <v>340731.29</v>
      </c>
      <c r="BK18" s="68">
        <v>384984.42</v>
      </c>
      <c r="BL18" s="68">
        <v>385954.06</v>
      </c>
      <c r="BM18" s="68">
        <v>128805.67</v>
      </c>
      <c r="BN18" s="68">
        <v>355596.18</v>
      </c>
      <c r="BO18" s="68">
        <v>126650.84</v>
      </c>
      <c r="BP18" s="68">
        <v>82980.81</v>
      </c>
      <c r="BQ18" s="68">
        <v>181442.01</v>
      </c>
      <c r="BR18" s="68">
        <v>2082814.64</v>
      </c>
      <c r="BS18" s="68">
        <v>273986.37</v>
      </c>
      <c r="BT18" s="68">
        <v>151419.84</v>
      </c>
      <c r="BU18" s="68">
        <v>112612.26</v>
      </c>
      <c r="BV18" s="68">
        <v>94630.84</v>
      </c>
      <c r="BW18" s="68">
        <v>176711.3</v>
      </c>
      <c r="BX18" s="68">
        <v>117008.77</v>
      </c>
      <c r="BY18" s="68">
        <v>118480.33</v>
      </c>
      <c r="BZ18" s="68">
        <v>103784.98</v>
      </c>
      <c r="CA18" s="68">
        <v>101089.48</v>
      </c>
      <c r="CB18" s="68">
        <v>138330.84</v>
      </c>
      <c r="CC18" s="68">
        <v>71345.77</v>
      </c>
      <c r="CD18" s="68">
        <v>215022.83</v>
      </c>
      <c r="CE18" s="68">
        <v>19777.91</v>
      </c>
      <c r="CF18" s="68">
        <v>54914.09</v>
      </c>
      <c r="CG18" s="68">
        <v>46012.37</v>
      </c>
      <c r="CH18" s="68">
        <v>93739.29</v>
      </c>
      <c r="CI18" s="68">
        <v>42243.43</v>
      </c>
      <c r="CJ18" s="68">
        <v>35478.49</v>
      </c>
      <c r="CK18" s="68">
        <v>17849.92</v>
      </c>
      <c r="CL18" s="68">
        <v>23111.89</v>
      </c>
      <c r="CM18" s="68">
        <v>18311.04</v>
      </c>
      <c r="CN18" s="68">
        <v>23895.1</v>
      </c>
      <c r="CO18" s="68">
        <v>44913.45</v>
      </c>
      <c r="CP18" s="68">
        <v>452738.43</v>
      </c>
      <c r="CQ18" s="68">
        <v>3345281.47</v>
      </c>
      <c r="CR18" s="68">
        <v>20165.57</v>
      </c>
      <c r="CS18" s="68">
        <v>28517.19</v>
      </c>
      <c r="CT18" s="68">
        <v>29093.63</v>
      </c>
      <c r="CU18" s="68">
        <v>4147.17</v>
      </c>
      <c r="CV18" s="68">
        <v>546465</v>
      </c>
      <c r="CW18" s="68">
        <v>224738.08</v>
      </c>
      <c r="CX18" s="68">
        <v>5711.19</v>
      </c>
      <c r="CY18" s="68">
        <v>4445.66</v>
      </c>
      <c r="CZ18" s="68">
        <v>4237.86</v>
      </c>
      <c r="DA18" s="68">
        <v>20691.7</v>
      </c>
      <c r="DB18" s="68">
        <v>966.45</v>
      </c>
      <c r="DC18" s="68">
        <v>6698.61</v>
      </c>
      <c r="DD18" s="68">
        <v>8028.98</v>
      </c>
      <c r="DE18" s="68">
        <v>6329.45</v>
      </c>
      <c r="DF18" s="68">
        <v>4007.69</v>
      </c>
      <c r="DG18" s="68">
        <v>3355.61</v>
      </c>
      <c r="DH18" s="68">
        <v>24679</v>
      </c>
      <c r="DI18" s="68">
        <v>1780.95</v>
      </c>
      <c r="DJ18" s="68">
        <v>987.41</v>
      </c>
      <c r="DK18" s="68">
        <v>2822.24</v>
      </c>
      <c r="DL18" s="68">
        <v>2301.59</v>
      </c>
      <c r="DM18" s="68">
        <v>3639.27</v>
      </c>
      <c r="DN18" s="68">
        <v>16898.83</v>
      </c>
      <c r="DO18" s="68">
        <v>96842.96</v>
      </c>
      <c r="DP18" s="68">
        <v>19757.44</v>
      </c>
      <c r="DQ18" s="68">
        <v>736.26</v>
      </c>
      <c r="DR18" s="68">
        <v>5082.9</v>
      </c>
      <c r="DS18" s="68">
        <v>183357.12</v>
      </c>
      <c r="DT18" s="68">
        <v>8262.05</v>
      </c>
      <c r="DU18" s="68">
        <v>0</v>
      </c>
      <c r="DV18" s="68"/>
      <c r="DW18" s="68"/>
      <c r="DX18" s="68"/>
      <c r="DY18" s="68"/>
      <c r="DZ18" s="68"/>
      <c r="EA18" s="63">
        <v>-12892627.04</v>
      </c>
      <c r="EB18" s="63">
        <f t="shared" si="0"/>
        <v>569244.11</v>
      </c>
      <c r="EC18" s="63">
        <f t="shared" si="3"/>
        <v>24638503.81</v>
      </c>
      <c r="ED18" s="63">
        <f t="shared" si="1"/>
        <v>13284964.73</v>
      </c>
      <c r="EE18" s="63">
        <f t="shared" si="2"/>
        <v>0</v>
      </c>
      <c r="EF18" s="63">
        <f t="shared" si="4"/>
        <v>-392337.69</v>
      </c>
      <c r="EG18" s="63">
        <f t="shared" si="5"/>
        <v>766245.8</v>
      </c>
    </row>
    <row r="19" s="242" customFormat="1" spans="1:137">
      <c r="A19" s="246" t="s">
        <v>102</v>
      </c>
      <c r="B19" s="68">
        <v>210044733.47</v>
      </c>
      <c r="C19" s="68">
        <v>0</v>
      </c>
      <c r="D19" s="68">
        <v>-4377832.02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63161.8</v>
      </c>
      <c r="W19" s="68">
        <v>4644894.92</v>
      </c>
      <c r="X19" s="68">
        <v>86833033.22</v>
      </c>
      <c r="Y19" s="68">
        <v>1102938.85</v>
      </c>
      <c r="Z19" s="68">
        <v>215950</v>
      </c>
      <c r="AA19" s="68">
        <v>2790.43</v>
      </c>
      <c r="AB19" s="68">
        <v>9.49</v>
      </c>
      <c r="AC19" s="68">
        <v>0</v>
      </c>
      <c r="AD19" s="68">
        <v>13239.86</v>
      </c>
      <c r="AE19" s="68">
        <v>121546546.92</v>
      </c>
      <c r="AF19" s="68">
        <v>155.78</v>
      </c>
      <c r="AG19" s="68">
        <v>1014829.47</v>
      </c>
      <c r="AH19" s="68">
        <v>749957.95</v>
      </c>
      <c r="AI19" s="68">
        <v>1268704.68</v>
      </c>
      <c r="AJ19" s="68">
        <v>-107347.3</v>
      </c>
      <c r="AK19" s="68">
        <v>1625285.04</v>
      </c>
      <c r="AL19" s="68">
        <v>93309.3</v>
      </c>
      <c r="AM19" s="68">
        <v>9344.96</v>
      </c>
      <c r="AN19" s="68">
        <v>74257993.92</v>
      </c>
      <c r="AO19" s="68">
        <v>9311386.59</v>
      </c>
      <c r="AP19" s="68">
        <v>2704856.94</v>
      </c>
      <c r="AQ19" s="68">
        <v>549450.81</v>
      </c>
      <c r="AR19" s="68">
        <v>0</v>
      </c>
      <c r="AS19" s="68">
        <v>0</v>
      </c>
      <c r="AT19" s="68">
        <v>0</v>
      </c>
      <c r="AU19" s="68">
        <v>182734.75</v>
      </c>
      <c r="AV19" s="68">
        <v>1413796.1</v>
      </c>
      <c r="AW19" s="68">
        <v>-794605.5</v>
      </c>
      <c r="AX19" s="68">
        <v>301013.5</v>
      </c>
      <c r="AY19" s="68">
        <v>2790.43</v>
      </c>
      <c r="AZ19" s="68">
        <v>0</v>
      </c>
      <c r="BA19" s="68">
        <v>62513377</v>
      </c>
      <c r="BB19" s="68">
        <v>3444.47</v>
      </c>
      <c r="BC19" s="68">
        <v>6741475.28</v>
      </c>
      <c r="BD19" s="68">
        <v>32648.1</v>
      </c>
      <c r="BE19" s="68">
        <v>0</v>
      </c>
      <c r="BF19" s="68">
        <v>52255602.07</v>
      </c>
      <c r="BG19" s="68">
        <v>2315914.91</v>
      </c>
      <c r="BH19" s="68">
        <v>2964781.89</v>
      </c>
      <c r="BI19" s="68">
        <v>2766861.04</v>
      </c>
      <c r="BJ19" s="68">
        <v>3275325.99</v>
      </c>
      <c r="BK19" s="68">
        <v>2430087.62</v>
      </c>
      <c r="BL19" s="68">
        <v>2161138.7</v>
      </c>
      <c r="BM19" s="68">
        <v>1042749.15</v>
      </c>
      <c r="BN19" s="68">
        <v>3019817.88</v>
      </c>
      <c r="BO19" s="68">
        <v>745281.36</v>
      </c>
      <c r="BP19" s="68">
        <v>459908.18</v>
      </c>
      <c r="BQ19" s="68">
        <v>2337543.11</v>
      </c>
      <c r="BR19" s="68">
        <v>4485956.02</v>
      </c>
      <c r="BS19" s="68">
        <v>1467008.07</v>
      </c>
      <c r="BT19" s="68">
        <v>728077.21</v>
      </c>
      <c r="BU19" s="68">
        <v>713317.03</v>
      </c>
      <c r="BV19" s="68">
        <v>729562.79</v>
      </c>
      <c r="BW19" s="68">
        <v>931131.34</v>
      </c>
      <c r="BX19" s="68">
        <v>1198395.55</v>
      </c>
      <c r="BY19" s="68">
        <v>577937.57</v>
      </c>
      <c r="BZ19" s="68">
        <v>589356.41</v>
      </c>
      <c r="CA19" s="68">
        <v>751243.38</v>
      </c>
      <c r="CB19" s="68">
        <v>909004.01</v>
      </c>
      <c r="CC19" s="68">
        <v>225267.74</v>
      </c>
      <c r="CD19" s="68">
        <v>470212.58</v>
      </c>
      <c r="CE19" s="68">
        <v>160323.67</v>
      </c>
      <c r="CF19" s="68">
        <v>721425.9</v>
      </c>
      <c r="CG19" s="68">
        <v>308607.75</v>
      </c>
      <c r="CH19" s="68">
        <v>599253.71</v>
      </c>
      <c r="CI19" s="68">
        <v>435220.91</v>
      </c>
      <c r="CJ19" s="68">
        <v>556476.21</v>
      </c>
      <c r="CK19" s="68">
        <v>100067.1</v>
      </c>
      <c r="CL19" s="68">
        <v>281965.13</v>
      </c>
      <c r="CM19" s="68">
        <v>197522.56</v>
      </c>
      <c r="CN19" s="68">
        <v>264729.72</v>
      </c>
      <c r="CO19" s="68">
        <v>157450.42</v>
      </c>
      <c r="CP19" s="68">
        <v>1411971.36</v>
      </c>
      <c r="CQ19" s="68">
        <v>5527686.31</v>
      </c>
      <c r="CR19" s="68">
        <v>58487.5</v>
      </c>
      <c r="CS19" s="68">
        <v>62954.22</v>
      </c>
      <c r="CT19" s="68">
        <v>358312.22</v>
      </c>
      <c r="CU19" s="68">
        <v>47837.89</v>
      </c>
      <c r="CV19" s="68">
        <v>685154.14</v>
      </c>
      <c r="CW19" s="68">
        <v>624068.88</v>
      </c>
      <c r="CX19" s="68">
        <v>55477.37</v>
      </c>
      <c r="CY19" s="68">
        <v>39514.28</v>
      </c>
      <c r="CZ19" s="68">
        <v>71026.01</v>
      </c>
      <c r="DA19" s="68">
        <v>64923.01</v>
      </c>
      <c r="DB19" s="68">
        <v>9394.57</v>
      </c>
      <c r="DC19" s="68">
        <v>65337.62</v>
      </c>
      <c r="DD19" s="68">
        <v>58300.1</v>
      </c>
      <c r="DE19" s="68">
        <v>83716.15</v>
      </c>
      <c r="DF19" s="68">
        <v>42556.13</v>
      </c>
      <c r="DG19" s="68">
        <v>37234.52</v>
      </c>
      <c r="DH19" s="68">
        <v>182684.66</v>
      </c>
      <c r="DI19" s="68">
        <v>15875.1</v>
      </c>
      <c r="DJ19" s="68">
        <v>19609.66</v>
      </c>
      <c r="DK19" s="68">
        <v>194735.13</v>
      </c>
      <c r="DL19" s="68">
        <v>32804.05</v>
      </c>
      <c r="DM19" s="68">
        <v>70693.51</v>
      </c>
      <c r="DN19" s="68">
        <v>157343.32</v>
      </c>
      <c r="DO19" s="68">
        <v>650478.23</v>
      </c>
      <c r="DP19" s="68">
        <v>131849.57</v>
      </c>
      <c r="DQ19" s="68">
        <v>17697.82</v>
      </c>
      <c r="DR19" s="68">
        <v>18365.54</v>
      </c>
      <c r="DS19" s="68">
        <v>333437.98</v>
      </c>
      <c r="DT19" s="68">
        <v>47152.61</v>
      </c>
      <c r="DU19" s="68">
        <v>0</v>
      </c>
      <c r="DV19" s="251"/>
      <c r="DW19" s="251"/>
      <c r="DX19" s="251"/>
      <c r="DY19" s="251"/>
      <c r="DZ19" s="251"/>
      <c r="EA19" s="242">
        <v>-121546546.92</v>
      </c>
      <c r="EB19" s="242">
        <f t="shared" si="0"/>
        <v>69277704.99</v>
      </c>
      <c r="EC19" s="242">
        <f t="shared" si="3"/>
        <v>104464051.53</v>
      </c>
      <c r="ED19" s="242">
        <f t="shared" si="1"/>
        <v>126034970.74</v>
      </c>
      <c r="EE19" s="242">
        <f t="shared" si="2"/>
        <v>87853.93</v>
      </c>
      <c r="EF19" s="63">
        <f t="shared" si="4"/>
        <v>82281447.6</v>
      </c>
      <c r="EG19" s="63">
        <f t="shared" si="5"/>
        <v>-86031107.87</v>
      </c>
    </row>
    <row r="20" spans="1:137">
      <c r="A20" s="57" t="s">
        <v>110</v>
      </c>
      <c r="B20" s="68">
        <v>28247185.26</v>
      </c>
      <c r="C20" s="68">
        <v>211523.79</v>
      </c>
      <c r="D20" s="68">
        <v>319292</v>
      </c>
      <c r="E20" s="68">
        <v>115427.64</v>
      </c>
      <c r="F20" s="68">
        <v>1537659.01</v>
      </c>
      <c r="G20" s="68">
        <v>83418.54</v>
      </c>
      <c r="H20" s="68">
        <v>224018.26</v>
      </c>
      <c r="I20" s="68">
        <v>78372.41</v>
      </c>
      <c r="J20" s="68">
        <v>0</v>
      </c>
      <c r="K20" s="68">
        <v>57815</v>
      </c>
      <c r="L20" s="68">
        <v>124108.75</v>
      </c>
      <c r="M20" s="68">
        <v>35066</v>
      </c>
      <c r="N20" s="68">
        <v>30526</v>
      </c>
      <c r="O20" s="68">
        <v>149966.9</v>
      </c>
      <c r="P20" s="68">
        <v>46749</v>
      </c>
      <c r="Q20" s="68">
        <v>130145.02</v>
      </c>
      <c r="R20" s="68">
        <v>16973.45</v>
      </c>
      <c r="S20" s="68">
        <v>2320</v>
      </c>
      <c r="T20" s="68">
        <v>0</v>
      </c>
      <c r="U20" s="68">
        <v>2813</v>
      </c>
      <c r="V20" s="68">
        <v>0</v>
      </c>
      <c r="W20" s="68">
        <v>1301019.94</v>
      </c>
      <c r="X20" s="68">
        <v>8250978.96</v>
      </c>
      <c r="Y20" s="68">
        <v>1152652.06</v>
      </c>
      <c r="Z20" s="68">
        <v>581317.12</v>
      </c>
      <c r="AA20" s="68">
        <v>367008.57</v>
      </c>
      <c r="AB20" s="68">
        <v>332135.18</v>
      </c>
      <c r="AC20" s="68">
        <v>0</v>
      </c>
      <c r="AD20" s="68">
        <v>210057.29</v>
      </c>
      <c r="AE20" s="68">
        <v>12885821.37</v>
      </c>
      <c r="AF20" s="68">
        <v>198351.91</v>
      </c>
      <c r="AG20" s="68">
        <v>140897.15</v>
      </c>
      <c r="AH20" s="68">
        <v>176535.27</v>
      </c>
      <c r="AI20" s="68">
        <v>253244.19</v>
      </c>
      <c r="AJ20" s="68">
        <v>176918.84</v>
      </c>
      <c r="AK20" s="68">
        <v>188856.93</v>
      </c>
      <c r="AL20" s="68">
        <v>166215.65</v>
      </c>
      <c r="AM20" s="68">
        <v>372733.03</v>
      </c>
      <c r="AN20" s="68">
        <v>5019917.26</v>
      </c>
      <c r="AO20" s="68">
        <v>1432391.64</v>
      </c>
      <c r="AP20" s="68">
        <v>658944.43</v>
      </c>
      <c r="AQ20" s="68">
        <v>310007.38</v>
      </c>
      <c r="AR20" s="68">
        <v>421726.66</v>
      </c>
      <c r="AS20" s="68">
        <v>35258.56</v>
      </c>
      <c r="AT20" s="68">
        <v>0</v>
      </c>
      <c r="AU20" s="68">
        <v>310976.01</v>
      </c>
      <c r="AV20" s="68">
        <v>318929.66</v>
      </c>
      <c r="AW20" s="68">
        <v>415231.08</v>
      </c>
      <c r="AX20" s="68">
        <v>107515.31</v>
      </c>
      <c r="AY20" s="68">
        <v>336131.29</v>
      </c>
      <c r="AZ20" s="68">
        <v>30877.28</v>
      </c>
      <c r="BA20" s="68">
        <v>167192.04</v>
      </c>
      <c r="BB20" s="68">
        <v>288436.28</v>
      </c>
      <c r="BC20" s="68">
        <v>160374.17</v>
      </c>
      <c r="BD20" s="68">
        <v>184195.73</v>
      </c>
      <c r="BE20" s="68">
        <v>0</v>
      </c>
      <c r="BF20" s="68">
        <v>12085623.15</v>
      </c>
      <c r="BG20" s="68">
        <v>368352.54</v>
      </c>
      <c r="BH20" s="68">
        <v>466203.18</v>
      </c>
      <c r="BI20" s="68">
        <v>495867.41</v>
      </c>
      <c r="BJ20" s="68">
        <v>354534.06</v>
      </c>
      <c r="BK20" s="68">
        <v>252185.66</v>
      </c>
      <c r="BL20" s="68">
        <v>384253.52</v>
      </c>
      <c r="BM20" s="68">
        <v>175898.52</v>
      </c>
      <c r="BN20" s="68">
        <v>471182.32</v>
      </c>
      <c r="BO20" s="68">
        <v>181789.04</v>
      </c>
      <c r="BP20" s="68">
        <v>178354.79</v>
      </c>
      <c r="BQ20" s="68">
        <v>554473.82</v>
      </c>
      <c r="BR20" s="68">
        <v>280969.87</v>
      </c>
      <c r="BS20" s="68">
        <v>341172.62</v>
      </c>
      <c r="BT20" s="68">
        <v>487477.7</v>
      </c>
      <c r="BU20" s="68">
        <v>118907.39</v>
      </c>
      <c r="BV20" s="68">
        <v>193656.9</v>
      </c>
      <c r="BW20" s="68">
        <v>158694.3</v>
      </c>
      <c r="BX20" s="68">
        <v>223982.54</v>
      </c>
      <c r="BY20" s="68">
        <v>175410.18</v>
      </c>
      <c r="BZ20" s="68">
        <v>138041.02</v>
      </c>
      <c r="CA20" s="68">
        <v>185990.12</v>
      </c>
      <c r="CB20" s="68">
        <v>185541.08</v>
      </c>
      <c r="CC20" s="68">
        <v>172731.01</v>
      </c>
      <c r="CD20" s="68">
        <v>145630.88</v>
      </c>
      <c r="CE20" s="68">
        <v>154275.72</v>
      </c>
      <c r="CF20" s="68">
        <v>87748.4</v>
      </c>
      <c r="CG20" s="68">
        <v>40485</v>
      </c>
      <c r="CH20" s="68">
        <v>128891.26</v>
      </c>
      <c r="CI20" s="68">
        <v>194837</v>
      </c>
      <c r="CJ20" s="68">
        <v>314322.98</v>
      </c>
      <c r="CK20" s="68">
        <v>107717.37</v>
      </c>
      <c r="CL20" s="68">
        <v>69232.54</v>
      </c>
      <c r="CM20" s="68">
        <v>125552</v>
      </c>
      <c r="CN20" s="68">
        <v>142402.8</v>
      </c>
      <c r="CO20" s="68">
        <v>118104.6</v>
      </c>
      <c r="CP20" s="68">
        <v>147879.43</v>
      </c>
      <c r="CQ20" s="68">
        <v>243202.51</v>
      </c>
      <c r="CR20" s="68">
        <v>67777.14</v>
      </c>
      <c r="CS20" s="68">
        <v>96243.48</v>
      </c>
      <c r="CT20" s="68">
        <v>134445.52</v>
      </c>
      <c r="CU20" s="68">
        <v>100558.6</v>
      </c>
      <c r="CV20" s="68">
        <v>76647.58</v>
      </c>
      <c r="CW20" s="68">
        <v>53565.19</v>
      </c>
      <c r="CX20" s="68">
        <v>115164.53</v>
      </c>
      <c r="CY20" s="68">
        <v>195465.37</v>
      </c>
      <c r="CZ20" s="68">
        <v>129831.96</v>
      </c>
      <c r="DA20" s="68">
        <v>136883.6</v>
      </c>
      <c r="DB20" s="68">
        <v>126652.12</v>
      </c>
      <c r="DC20" s="68">
        <v>120280.32</v>
      </c>
      <c r="DD20" s="68">
        <v>188748.17</v>
      </c>
      <c r="DE20" s="68">
        <v>101728.49</v>
      </c>
      <c r="DF20" s="68">
        <v>101274.98</v>
      </c>
      <c r="DG20" s="68">
        <v>138938.17</v>
      </c>
      <c r="DH20" s="68">
        <v>76731.74</v>
      </c>
      <c r="DI20" s="68">
        <v>79062.2</v>
      </c>
      <c r="DJ20" s="68">
        <v>57673</v>
      </c>
      <c r="DK20" s="68">
        <v>177618.43</v>
      </c>
      <c r="DL20" s="68">
        <v>129705.01</v>
      </c>
      <c r="DM20" s="68">
        <v>95724.12</v>
      </c>
      <c r="DN20" s="68">
        <v>136755.61</v>
      </c>
      <c r="DO20" s="68">
        <v>318425.32</v>
      </c>
      <c r="DP20" s="68">
        <v>135144.19</v>
      </c>
      <c r="DQ20" s="68">
        <v>108474.42</v>
      </c>
      <c r="DR20" s="68">
        <v>97035</v>
      </c>
      <c r="DS20" s="68">
        <v>169037.59</v>
      </c>
      <c r="DT20" s="68">
        <v>54079.22</v>
      </c>
      <c r="DU20" s="68">
        <v>0</v>
      </c>
      <c r="DV20" s="68"/>
      <c r="DW20" s="68"/>
      <c r="DX20" s="68"/>
      <c r="DY20" s="68"/>
      <c r="DZ20" s="68"/>
      <c r="EA20" s="63">
        <v>-12885821.37</v>
      </c>
      <c r="EB20" s="63">
        <f t="shared" si="0"/>
        <v>621018.21</v>
      </c>
      <c r="EC20" s="63">
        <f t="shared" si="3"/>
        <v>24117167.08</v>
      </c>
      <c r="ED20" s="63">
        <f t="shared" si="1"/>
        <v>14020625.66</v>
      </c>
      <c r="EE20" s="63">
        <f t="shared" si="2"/>
        <v>-137670.52</v>
      </c>
      <c r="EF20" s="63">
        <f t="shared" si="4"/>
        <v>7116174.67</v>
      </c>
      <c r="EG20" s="63">
        <f t="shared" si="5"/>
        <v>-7205842.21</v>
      </c>
    </row>
    <row r="21" spans="1:137">
      <c r="A21" s="57" t="s">
        <v>111</v>
      </c>
      <c r="B21" s="68">
        <v>17304570.67</v>
      </c>
      <c r="C21" s="68">
        <v>541528.86</v>
      </c>
      <c r="D21" s="68">
        <v>-26441.5</v>
      </c>
      <c r="E21" s="68">
        <v>82661.24</v>
      </c>
      <c r="F21" s="68">
        <v>350375.99</v>
      </c>
      <c r="G21" s="68">
        <v>22899.83</v>
      </c>
      <c r="H21" s="68">
        <v>93539.59</v>
      </c>
      <c r="I21" s="68">
        <v>31252.69</v>
      </c>
      <c r="J21" s="68">
        <v>0</v>
      </c>
      <c r="K21" s="68">
        <v>20046.14</v>
      </c>
      <c r="L21" s="68">
        <v>68763.03</v>
      </c>
      <c r="M21" s="68">
        <v>22863.9</v>
      </c>
      <c r="N21" s="68">
        <v>529105.64</v>
      </c>
      <c r="O21" s="68">
        <v>231077.28</v>
      </c>
      <c r="P21" s="68">
        <v>18461.38</v>
      </c>
      <c r="Q21" s="68">
        <v>121521.98</v>
      </c>
      <c r="R21" s="68">
        <v>69380.71</v>
      </c>
      <c r="S21" s="68">
        <v>6124.57</v>
      </c>
      <c r="T21" s="68">
        <v>0</v>
      </c>
      <c r="U21" s="68">
        <v>0</v>
      </c>
      <c r="V21" s="68">
        <v>0</v>
      </c>
      <c r="W21" s="68">
        <v>1112107.94</v>
      </c>
      <c r="X21" s="68">
        <v>9998049.69</v>
      </c>
      <c r="Y21" s="68">
        <v>747845.14</v>
      </c>
      <c r="Z21" s="68">
        <v>167123.33</v>
      </c>
      <c r="AA21" s="68">
        <v>138476.31</v>
      </c>
      <c r="AB21" s="68">
        <v>245179.31</v>
      </c>
      <c r="AC21" s="68">
        <v>0</v>
      </c>
      <c r="AD21" s="68">
        <v>81952.88</v>
      </c>
      <c r="AE21" s="68">
        <v>2630674.74</v>
      </c>
      <c r="AF21" s="68">
        <v>174468.59</v>
      </c>
      <c r="AG21" s="68">
        <v>115429.51</v>
      </c>
      <c r="AH21" s="68">
        <v>130151.12</v>
      </c>
      <c r="AI21" s="68">
        <v>146228.64</v>
      </c>
      <c r="AJ21" s="68">
        <v>182682.13</v>
      </c>
      <c r="AK21" s="68">
        <v>225712.81</v>
      </c>
      <c r="AL21" s="68">
        <v>137435.14</v>
      </c>
      <c r="AM21" s="68">
        <v>531368.93</v>
      </c>
      <c r="AN21" s="68">
        <v>5605644.49</v>
      </c>
      <c r="AO21" s="68">
        <v>1589523.03</v>
      </c>
      <c r="AP21" s="68">
        <v>914649.77</v>
      </c>
      <c r="AQ21" s="68">
        <v>330015.05</v>
      </c>
      <c r="AR21" s="68">
        <v>918172.66</v>
      </c>
      <c r="AS21" s="68">
        <v>108675.76</v>
      </c>
      <c r="AT21" s="68">
        <v>0</v>
      </c>
      <c r="AU21" s="68">
        <v>255755.79</v>
      </c>
      <c r="AV21" s="68">
        <v>184656.27</v>
      </c>
      <c r="AW21" s="68">
        <v>234311.83</v>
      </c>
      <c r="AX21" s="68">
        <v>73121.25</v>
      </c>
      <c r="AY21" s="68">
        <v>77211.02</v>
      </c>
      <c r="AZ21" s="68">
        <v>61265.29</v>
      </c>
      <c r="BA21" s="68">
        <v>194311.1</v>
      </c>
      <c r="BB21" s="68">
        <v>212675.2</v>
      </c>
      <c r="BC21" s="68">
        <v>139606.64</v>
      </c>
      <c r="BD21" s="68">
        <v>115517.63</v>
      </c>
      <c r="BE21" s="68">
        <v>0</v>
      </c>
      <c r="BF21" s="68">
        <v>1968564.17</v>
      </c>
      <c r="BG21" s="68">
        <v>25252.43</v>
      </c>
      <c r="BH21" s="68">
        <v>44515.44</v>
      </c>
      <c r="BI21" s="68">
        <v>37554.08</v>
      </c>
      <c r="BJ21" s="68">
        <v>88162.32</v>
      </c>
      <c r="BK21" s="68">
        <v>26069.91</v>
      </c>
      <c r="BL21" s="68">
        <v>44102.45</v>
      </c>
      <c r="BM21" s="68">
        <v>21966.11</v>
      </c>
      <c r="BN21" s="68">
        <v>73054.37</v>
      </c>
      <c r="BO21" s="68">
        <v>98400.96</v>
      </c>
      <c r="BP21" s="68">
        <v>47634.76</v>
      </c>
      <c r="BQ21" s="68">
        <v>134343.21</v>
      </c>
      <c r="BR21" s="68">
        <v>16191.63</v>
      </c>
      <c r="BS21" s="68">
        <v>22830.57</v>
      </c>
      <c r="BT21" s="68">
        <v>58224.69</v>
      </c>
      <c r="BU21" s="68">
        <v>16042.69</v>
      </c>
      <c r="BV21" s="68">
        <v>24032.09</v>
      </c>
      <c r="BW21" s="68">
        <v>23994.79</v>
      </c>
      <c r="BX21" s="68">
        <v>13912.98</v>
      </c>
      <c r="BY21" s="68">
        <v>12162.94</v>
      </c>
      <c r="BZ21" s="68">
        <v>10944.16</v>
      </c>
      <c r="CA21" s="68">
        <v>3168.34</v>
      </c>
      <c r="CB21" s="68">
        <v>8241.17</v>
      </c>
      <c r="CC21" s="68">
        <v>32067.28</v>
      </c>
      <c r="CD21" s="68">
        <v>21121.17</v>
      </c>
      <c r="CE21" s="68">
        <v>24940.74</v>
      </c>
      <c r="CF21" s="68">
        <v>8166.81</v>
      </c>
      <c r="CG21" s="68">
        <v>4583</v>
      </c>
      <c r="CH21" s="68">
        <v>23920.25</v>
      </c>
      <c r="CI21" s="68">
        <v>10812.92</v>
      </c>
      <c r="CJ21" s="68">
        <v>45427.48</v>
      </c>
      <c r="CK21" s="68">
        <v>16901.45</v>
      </c>
      <c r="CL21" s="68">
        <v>18668</v>
      </c>
      <c r="CM21" s="68">
        <v>12338</v>
      </c>
      <c r="CN21" s="68">
        <v>16942.81</v>
      </c>
      <c r="CO21" s="68">
        <v>18627.13</v>
      </c>
      <c r="CP21" s="68">
        <v>9151.11</v>
      </c>
      <c r="CQ21" s="68">
        <v>25444.25</v>
      </c>
      <c r="CR21" s="68">
        <v>20433</v>
      </c>
      <c r="CS21" s="68">
        <v>12446.8</v>
      </c>
      <c r="CT21" s="68">
        <v>23583.01</v>
      </c>
      <c r="CU21" s="68">
        <v>42252.2</v>
      </c>
      <c r="CV21" s="68">
        <v>35864.26</v>
      </c>
      <c r="CW21" s="68">
        <v>28262.95</v>
      </c>
      <c r="CX21" s="68">
        <v>40348.36</v>
      </c>
      <c r="CY21" s="68">
        <v>44377.9</v>
      </c>
      <c r="CZ21" s="68">
        <v>51187.16</v>
      </c>
      <c r="DA21" s="68">
        <v>46204.7</v>
      </c>
      <c r="DB21" s="68">
        <v>29485.9</v>
      </c>
      <c r="DC21" s="68">
        <v>27602.5</v>
      </c>
      <c r="DD21" s="68">
        <v>18970.6</v>
      </c>
      <c r="DE21" s="68">
        <v>46511.78</v>
      </c>
      <c r="DF21" s="68">
        <v>32181.9</v>
      </c>
      <c r="DG21" s="68">
        <v>15448</v>
      </c>
      <c r="DH21" s="68">
        <v>24784.1</v>
      </c>
      <c r="DI21" s="68">
        <v>21227.4</v>
      </c>
      <c r="DJ21" s="68">
        <v>5633.5</v>
      </c>
      <c r="DK21" s="68">
        <v>37717.67</v>
      </c>
      <c r="DL21" s="68">
        <v>39420.7</v>
      </c>
      <c r="DM21" s="68">
        <v>27997.7</v>
      </c>
      <c r="DN21" s="68">
        <v>22009.2</v>
      </c>
      <c r="DO21" s="68">
        <v>50497.44</v>
      </c>
      <c r="DP21" s="68">
        <v>8727</v>
      </c>
      <c r="DQ21" s="68">
        <v>17045.21</v>
      </c>
      <c r="DR21" s="68">
        <v>14785.24</v>
      </c>
      <c r="DS21" s="68">
        <v>31966</v>
      </c>
      <c r="DT21" s="68">
        <v>11677.5</v>
      </c>
      <c r="DU21" s="68">
        <v>0</v>
      </c>
      <c r="DV21" s="68"/>
      <c r="DW21" s="68"/>
      <c r="DX21" s="68"/>
      <c r="DY21" s="68"/>
      <c r="DZ21" s="68"/>
      <c r="EA21" s="63">
        <v>-2630674.74</v>
      </c>
      <c r="EB21" s="63">
        <f t="shared" si="0"/>
        <v>641422.98</v>
      </c>
      <c r="EC21" s="63">
        <f t="shared" si="3"/>
        <v>3925450.84</v>
      </c>
      <c r="ED21" s="63">
        <f t="shared" si="1"/>
        <v>3605347.54</v>
      </c>
      <c r="EE21" s="63">
        <f t="shared" si="2"/>
        <v>-16791.06</v>
      </c>
      <c r="EF21" s="63">
        <f t="shared" si="4"/>
        <v>9023376.89</v>
      </c>
      <c r="EG21" s="63">
        <f t="shared" si="5"/>
        <v>-9323325.8</v>
      </c>
    </row>
    <row r="22" spans="1:137">
      <c r="A22" s="57" t="s">
        <v>112</v>
      </c>
      <c r="B22" s="68">
        <v>5445154.72</v>
      </c>
      <c r="C22" s="68">
        <v>33701.22</v>
      </c>
      <c r="D22" s="68">
        <v>669381.8</v>
      </c>
      <c r="E22" s="68">
        <v>17895.29</v>
      </c>
      <c r="F22" s="68">
        <v>515221.62</v>
      </c>
      <c r="G22" s="68">
        <v>41539.45</v>
      </c>
      <c r="H22" s="68">
        <v>37299.34</v>
      </c>
      <c r="I22" s="68">
        <v>39184.58</v>
      </c>
      <c r="J22" s="68">
        <v>0</v>
      </c>
      <c r="K22" s="68">
        <v>5233.5</v>
      </c>
      <c r="L22" s="68">
        <v>29093.04</v>
      </c>
      <c r="M22" s="68">
        <v>7317.33</v>
      </c>
      <c r="N22" s="68">
        <v>15336.12</v>
      </c>
      <c r="O22" s="68">
        <v>35487.85</v>
      </c>
      <c r="P22" s="68">
        <v>17589.44</v>
      </c>
      <c r="Q22" s="68">
        <v>26509.37</v>
      </c>
      <c r="R22" s="68">
        <v>12567.81</v>
      </c>
      <c r="S22" s="68">
        <v>4630.89</v>
      </c>
      <c r="T22" s="68">
        <v>0</v>
      </c>
      <c r="U22" s="68">
        <v>0</v>
      </c>
      <c r="V22" s="68">
        <v>0</v>
      </c>
      <c r="W22" s="68">
        <v>87658.96</v>
      </c>
      <c r="X22" s="68">
        <v>1251331.1</v>
      </c>
      <c r="Y22" s="68">
        <v>225286.41</v>
      </c>
      <c r="Z22" s="68">
        <v>43146.75</v>
      </c>
      <c r="AA22" s="68">
        <v>37647.79</v>
      </c>
      <c r="AB22" s="68">
        <v>13181.58</v>
      </c>
      <c r="AC22" s="68">
        <v>0</v>
      </c>
      <c r="AD22" s="68">
        <v>42975.75</v>
      </c>
      <c r="AE22" s="68">
        <v>2235937.73</v>
      </c>
      <c r="AF22" s="68">
        <v>5058.6</v>
      </c>
      <c r="AG22" s="68">
        <v>7721.7</v>
      </c>
      <c r="AH22" s="68">
        <v>13853.79</v>
      </c>
      <c r="AI22" s="68">
        <v>17914.93</v>
      </c>
      <c r="AJ22" s="68">
        <v>25922.88</v>
      </c>
      <c r="AK22" s="68">
        <v>9764.87</v>
      </c>
      <c r="AL22" s="68">
        <v>7422.19</v>
      </c>
      <c r="AM22" s="68">
        <v>98927.42</v>
      </c>
      <c r="AN22" s="68">
        <v>709392</v>
      </c>
      <c r="AO22" s="68">
        <v>245659.2</v>
      </c>
      <c r="AP22" s="68">
        <v>139099.41</v>
      </c>
      <c r="AQ22" s="68">
        <v>33136.58</v>
      </c>
      <c r="AR22" s="68">
        <v>23946.09</v>
      </c>
      <c r="AS22" s="68">
        <v>1170.4</v>
      </c>
      <c r="AT22" s="68">
        <v>0</v>
      </c>
      <c r="AU22" s="68">
        <v>10001.2</v>
      </c>
      <c r="AV22" s="68">
        <v>112239.65</v>
      </c>
      <c r="AW22" s="68">
        <v>95208.26</v>
      </c>
      <c r="AX22" s="68">
        <v>7837.3</v>
      </c>
      <c r="AY22" s="68">
        <v>37647.79</v>
      </c>
      <c r="AZ22" s="68">
        <v>0</v>
      </c>
      <c r="BA22" s="68">
        <v>55904.67</v>
      </c>
      <c r="BB22" s="68">
        <v>43940.23</v>
      </c>
      <c r="BC22" s="68">
        <v>15118.74</v>
      </c>
      <c r="BD22" s="68">
        <v>28561.17</v>
      </c>
      <c r="BE22" s="68">
        <v>0</v>
      </c>
      <c r="BF22" s="68">
        <v>2092412.92</v>
      </c>
      <c r="BG22" s="68">
        <v>176366.93</v>
      </c>
      <c r="BH22" s="68">
        <v>143514.54</v>
      </c>
      <c r="BI22" s="68">
        <v>63400.54</v>
      </c>
      <c r="BJ22" s="68">
        <v>153786.14</v>
      </c>
      <c r="BK22" s="68">
        <v>136140.75</v>
      </c>
      <c r="BL22" s="68">
        <v>110487.11</v>
      </c>
      <c r="BM22" s="68">
        <v>20114.74</v>
      </c>
      <c r="BN22" s="68">
        <v>61510.5</v>
      </c>
      <c r="BO22" s="68">
        <v>20435.44</v>
      </c>
      <c r="BP22" s="68">
        <v>30326.26</v>
      </c>
      <c r="BQ22" s="68">
        <v>81271.76</v>
      </c>
      <c r="BR22" s="68">
        <v>19050.47</v>
      </c>
      <c r="BS22" s="68">
        <v>89518.79</v>
      </c>
      <c r="BT22" s="68">
        <v>15688.89</v>
      </c>
      <c r="BU22" s="68">
        <v>44613.8</v>
      </c>
      <c r="BV22" s="68">
        <v>27933.44</v>
      </c>
      <c r="BW22" s="68">
        <v>57112.16</v>
      </c>
      <c r="BX22" s="68">
        <v>56236.37</v>
      </c>
      <c r="BY22" s="68">
        <v>27937.4</v>
      </c>
      <c r="BZ22" s="68">
        <v>26394.95</v>
      </c>
      <c r="CA22" s="68">
        <v>17350.2</v>
      </c>
      <c r="CB22" s="68">
        <v>31968.52</v>
      </c>
      <c r="CC22" s="68">
        <v>30212.36</v>
      </c>
      <c r="CD22" s="68">
        <v>23473.38</v>
      </c>
      <c r="CE22" s="68">
        <v>43894.23</v>
      </c>
      <c r="CF22" s="68">
        <v>11383.09</v>
      </c>
      <c r="CG22" s="68">
        <v>25462</v>
      </c>
      <c r="CH22" s="68">
        <v>17074.33</v>
      </c>
      <c r="CI22" s="68">
        <v>18981.3</v>
      </c>
      <c r="CJ22" s="68">
        <v>34121.65</v>
      </c>
      <c r="CK22" s="68">
        <v>10272.93</v>
      </c>
      <c r="CL22" s="68">
        <v>12764.12</v>
      </c>
      <c r="CM22" s="68">
        <v>5106.58</v>
      </c>
      <c r="CN22" s="68">
        <v>16893.75</v>
      </c>
      <c r="CO22" s="68">
        <v>9659.22</v>
      </c>
      <c r="CP22" s="68">
        <v>18359.28</v>
      </c>
      <c r="CQ22" s="68">
        <v>21589.62</v>
      </c>
      <c r="CR22" s="68">
        <v>7196.87</v>
      </c>
      <c r="CS22" s="68">
        <v>8915.67</v>
      </c>
      <c r="CT22" s="68">
        <v>7018.21</v>
      </c>
      <c r="CU22" s="68">
        <v>6671.5</v>
      </c>
      <c r="CV22" s="68">
        <v>7559.68</v>
      </c>
      <c r="CW22" s="68">
        <v>8153.93</v>
      </c>
      <c r="CX22" s="68">
        <v>13172.4</v>
      </c>
      <c r="CY22" s="68">
        <v>25295.26</v>
      </c>
      <c r="CZ22" s="68">
        <v>14822.13</v>
      </c>
      <c r="DA22" s="68">
        <v>9966.03</v>
      </c>
      <c r="DB22" s="68">
        <v>11935.33</v>
      </c>
      <c r="DC22" s="68">
        <v>19471.62</v>
      </c>
      <c r="DD22" s="68">
        <v>4380.6</v>
      </c>
      <c r="DE22" s="68">
        <v>14882</v>
      </c>
      <c r="DF22" s="68">
        <v>21922.25</v>
      </c>
      <c r="DG22" s="68">
        <v>10830.67</v>
      </c>
      <c r="DH22" s="68">
        <v>11088.8</v>
      </c>
      <c r="DI22" s="68">
        <v>5022.4</v>
      </c>
      <c r="DJ22" s="68">
        <v>3339.26</v>
      </c>
      <c r="DK22" s="68">
        <v>18598.74</v>
      </c>
      <c r="DL22" s="68">
        <v>5687.88</v>
      </c>
      <c r="DM22" s="68">
        <v>15812.74</v>
      </c>
      <c r="DN22" s="68">
        <v>2040.67</v>
      </c>
      <c r="DO22" s="68">
        <v>28387.06</v>
      </c>
      <c r="DP22" s="68">
        <v>7425.24</v>
      </c>
      <c r="DQ22" s="68">
        <v>39436.94</v>
      </c>
      <c r="DR22" s="68">
        <v>15953</v>
      </c>
      <c r="DS22" s="68">
        <v>22495.1</v>
      </c>
      <c r="DT22" s="68">
        <v>14523.4</v>
      </c>
      <c r="DU22" s="68">
        <v>0</v>
      </c>
      <c r="DV22" s="68"/>
      <c r="DW22" s="68"/>
      <c r="DX22" s="68"/>
      <c r="DY22" s="68"/>
      <c r="DZ22" s="68"/>
      <c r="EA22" s="63">
        <v>-2235937.73</v>
      </c>
      <c r="EB22" s="63">
        <f t="shared" si="0"/>
        <v>100549.06</v>
      </c>
      <c r="EC22" s="63">
        <f t="shared" si="3"/>
        <v>4170302.44</v>
      </c>
      <c r="ED22" s="63">
        <f t="shared" si="1"/>
        <v>2316174.5</v>
      </c>
      <c r="EE22" s="63">
        <f t="shared" si="2"/>
        <v>2338.34</v>
      </c>
      <c r="EF22" s="63">
        <f t="shared" si="4"/>
        <v>1171094.33</v>
      </c>
      <c r="EG22" s="63">
        <f t="shared" si="5"/>
        <v>-1033881.99</v>
      </c>
    </row>
    <row r="23" spans="1:137">
      <c r="A23" s="57" t="s">
        <v>113</v>
      </c>
      <c r="B23" s="68">
        <v>2484628.05</v>
      </c>
      <c r="C23" s="68">
        <v>4729.71</v>
      </c>
      <c r="D23" s="68">
        <v>109181</v>
      </c>
      <c r="E23" s="68">
        <v>4194.62</v>
      </c>
      <c r="F23" s="68">
        <v>190073.76</v>
      </c>
      <c r="G23" s="68">
        <v>32664.96</v>
      </c>
      <c r="H23" s="68">
        <v>5088.36</v>
      </c>
      <c r="I23" s="68">
        <v>43943.2</v>
      </c>
      <c r="J23" s="68">
        <v>0</v>
      </c>
      <c r="K23" s="68">
        <v>3000</v>
      </c>
      <c r="L23" s="68">
        <v>9349.95</v>
      </c>
      <c r="M23" s="68">
        <v>2266.98</v>
      </c>
      <c r="N23" s="68">
        <v>7723.56</v>
      </c>
      <c r="O23" s="68">
        <v>6050.96</v>
      </c>
      <c r="P23" s="68">
        <v>8616.67</v>
      </c>
      <c r="Q23" s="68">
        <v>27963.91</v>
      </c>
      <c r="R23" s="68">
        <v>2276.7</v>
      </c>
      <c r="S23" s="68">
        <v>1179.61</v>
      </c>
      <c r="T23" s="68">
        <v>0</v>
      </c>
      <c r="U23" s="68">
        <v>0</v>
      </c>
      <c r="V23" s="68">
        <v>0</v>
      </c>
      <c r="W23" s="68">
        <v>24618.5</v>
      </c>
      <c r="X23" s="68">
        <v>571254.1</v>
      </c>
      <c r="Y23" s="68">
        <v>84090.47</v>
      </c>
      <c r="Z23" s="68">
        <v>49934.22</v>
      </c>
      <c r="AA23" s="68">
        <v>2324.79</v>
      </c>
      <c r="AB23" s="68">
        <v>12611.91</v>
      </c>
      <c r="AC23" s="68">
        <v>0</v>
      </c>
      <c r="AD23" s="68">
        <v>28370.02</v>
      </c>
      <c r="AE23" s="68">
        <v>1253120.09</v>
      </c>
      <c r="AF23" s="68">
        <v>7677.36</v>
      </c>
      <c r="AG23" s="68">
        <v>2466.31</v>
      </c>
      <c r="AH23" s="68">
        <v>4265.32</v>
      </c>
      <c r="AI23" s="68">
        <v>717.45</v>
      </c>
      <c r="AJ23" s="68">
        <v>6305.98</v>
      </c>
      <c r="AK23" s="68">
        <v>719.76</v>
      </c>
      <c r="AL23" s="68">
        <v>2466.32</v>
      </c>
      <c r="AM23" s="68">
        <v>43208.91</v>
      </c>
      <c r="AN23" s="68">
        <v>331033.37</v>
      </c>
      <c r="AO23" s="68">
        <v>140366.23</v>
      </c>
      <c r="AP23" s="68">
        <v>44869.64</v>
      </c>
      <c r="AQ23" s="68">
        <v>10407.95</v>
      </c>
      <c r="AR23" s="68">
        <v>1368</v>
      </c>
      <c r="AS23" s="68">
        <v>0</v>
      </c>
      <c r="AT23" s="68">
        <v>0</v>
      </c>
      <c r="AU23" s="68">
        <v>4826.02</v>
      </c>
      <c r="AV23" s="68">
        <v>59996.33</v>
      </c>
      <c r="AW23" s="68">
        <v>13115.89</v>
      </c>
      <c r="AX23" s="68">
        <v>6152.23</v>
      </c>
      <c r="AY23" s="68">
        <v>2324.79</v>
      </c>
      <c r="AZ23" s="68">
        <v>0</v>
      </c>
      <c r="BA23" s="68">
        <v>8238.35</v>
      </c>
      <c r="BB23" s="68">
        <v>15161.55</v>
      </c>
      <c r="BC23" s="68">
        <v>1841.24</v>
      </c>
      <c r="BD23" s="68">
        <v>4265.23</v>
      </c>
      <c r="BE23" s="68">
        <v>0</v>
      </c>
      <c r="BF23" s="68">
        <v>1223613.72</v>
      </c>
      <c r="BG23" s="68">
        <v>52262.53</v>
      </c>
      <c r="BH23" s="68">
        <v>131767.23</v>
      </c>
      <c r="BI23" s="68">
        <v>33189.75</v>
      </c>
      <c r="BJ23" s="68">
        <v>49384.92</v>
      </c>
      <c r="BK23" s="68">
        <v>106084.27</v>
      </c>
      <c r="BL23" s="68">
        <v>29573.04</v>
      </c>
      <c r="BM23" s="68">
        <v>11807.75</v>
      </c>
      <c r="BN23" s="68">
        <v>65921.35</v>
      </c>
      <c r="BO23" s="68">
        <v>17073.61</v>
      </c>
      <c r="BP23" s="68">
        <v>78005.29</v>
      </c>
      <c r="BQ23" s="68">
        <v>40568.14</v>
      </c>
      <c r="BR23" s="68">
        <v>16640.1</v>
      </c>
      <c r="BS23" s="68">
        <v>27991.97</v>
      </c>
      <c r="BT23" s="68">
        <v>17075.97</v>
      </c>
      <c r="BU23" s="68">
        <v>24151.81</v>
      </c>
      <c r="BV23" s="68">
        <v>38080.52</v>
      </c>
      <c r="BW23" s="68">
        <v>26365.94</v>
      </c>
      <c r="BX23" s="68">
        <v>19841.63</v>
      </c>
      <c r="BY23" s="68">
        <v>20696</v>
      </c>
      <c r="BZ23" s="68">
        <v>10985</v>
      </c>
      <c r="CA23" s="68">
        <v>8750.82</v>
      </c>
      <c r="CB23" s="68">
        <v>18315.11</v>
      </c>
      <c r="CC23" s="68">
        <v>9173.26</v>
      </c>
      <c r="CD23" s="68">
        <v>7558.48</v>
      </c>
      <c r="CE23" s="68">
        <v>7045</v>
      </c>
      <c r="CF23" s="68">
        <v>13623.58</v>
      </c>
      <c r="CG23" s="68">
        <v>15599</v>
      </c>
      <c r="CH23" s="68">
        <v>25637.26</v>
      </c>
      <c r="CI23" s="68">
        <v>15780.88</v>
      </c>
      <c r="CJ23" s="68">
        <v>12142.91</v>
      </c>
      <c r="CK23" s="68">
        <v>2509</v>
      </c>
      <c r="CL23" s="68">
        <v>5285.56</v>
      </c>
      <c r="CM23" s="68">
        <v>3054.19</v>
      </c>
      <c r="CN23" s="68">
        <v>9833.94</v>
      </c>
      <c r="CO23" s="68">
        <v>2214.24</v>
      </c>
      <c r="CP23" s="68">
        <v>5581.6</v>
      </c>
      <c r="CQ23" s="68">
        <v>23525.98</v>
      </c>
      <c r="CR23" s="68">
        <v>1046</v>
      </c>
      <c r="CS23" s="68">
        <v>16208</v>
      </c>
      <c r="CT23" s="68">
        <v>6839.4</v>
      </c>
      <c r="CU23" s="68">
        <v>1005</v>
      </c>
      <c r="CV23" s="68">
        <v>8199.79</v>
      </c>
      <c r="CW23" s="68">
        <v>5697.82</v>
      </c>
      <c r="CX23" s="68">
        <v>6622.6</v>
      </c>
      <c r="CY23" s="68">
        <v>1777.75</v>
      </c>
      <c r="CZ23" s="68">
        <v>2979.4</v>
      </c>
      <c r="DA23" s="68">
        <v>4171.3</v>
      </c>
      <c r="DB23" s="68">
        <v>5053</v>
      </c>
      <c r="DC23" s="68">
        <v>16790.5</v>
      </c>
      <c r="DD23" s="68">
        <v>949.8</v>
      </c>
      <c r="DE23" s="68">
        <v>6610</v>
      </c>
      <c r="DF23" s="68">
        <v>6443.9</v>
      </c>
      <c r="DG23" s="68">
        <v>1554</v>
      </c>
      <c r="DH23" s="68">
        <v>7536.82</v>
      </c>
      <c r="DI23" s="68">
        <v>3730.66</v>
      </c>
      <c r="DJ23" s="68">
        <v>8897.62</v>
      </c>
      <c r="DK23" s="68">
        <v>21164.85</v>
      </c>
      <c r="DL23" s="68">
        <v>5469.84</v>
      </c>
      <c r="DM23" s="68">
        <v>2540.85</v>
      </c>
      <c r="DN23" s="68">
        <v>7983.47</v>
      </c>
      <c r="DO23" s="68">
        <v>30183.01</v>
      </c>
      <c r="DP23" s="68">
        <v>1225.8</v>
      </c>
      <c r="DQ23" s="68">
        <v>22541.18</v>
      </c>
      <c r="DR23" s="68">
        <v>3335</v>
      </c>
      <c r="DS23" s="68">
        <v>6434.05</v>
      </c>
      <c r="DT23" s="68">
        <v>7524.68</v>
      </c>
      <c r="DU23" s="68">
        <v>0</v>
      </c>
      <c r="DV23" s="68"/>
      <c r="DW23" s="68"/>
      <c r="DX23" s="68"/>
      <c r="DY23" s="68"/>
      <c r="DZ23" s="68"/>
      <c r="EA23" s="63">
        <v>-1253120.09</v>
      </c>
      <c r="EB23" s="63">
        <f t="shared" si="0"/>
        <v>1136.35</v>
      </c>
      <c r="EC23" s="63">
        <f t="shared" si="3"/>
        <v>2439702.76</v>
      </c>
      <c r="ED23" s="63">
        <f t="shared" si="1"/>
        <v>1275272.27</v>
      </c>
      <c r="EE23" s="63">
        <f t="shared" si="2"/>
        <v>-41457.2</v>
      </c>
      <c r="EF23" s="63">
        <f t="shared" si="4"/>
        <v>549101.92</v>
      </c>
      <c r="EG23" s="63">
        <f t="shared" si="5"/>
        <v>-493315.86</v>
      </c>
    </row>
    <row r="24" spans="1:137">
      <c r="A24" s="57" t="s">
        <v>114</v>
      </c>
      <c r="B24" s="68">
        <v>5518750.13</v>
      </c>
      <c r="C24" s="68">
        <v>0</v>
      </c>
      <c r="D24" s="68">
        <v>364000</v>
      </c>
      <c r="E24" s="68">
        <v>2177140.39</v>
      </c>
      <c r="F24" s="68">
        <v>187011.7</v>
      </c>
      <c r="G24" s="68">
        <v>211.32</v>
      </c>
      <c r="H24" s="68">
        <v>52.83</v>
      </c>
      <c r="I24" s="68">
        <v>37.74</v>
      </c>
      <c r="J24" s="68">
        <v>0</v>
      </c>
      <c r="K24" s="68">
        <v>52.83</v>
      </c>
      <c r="L24" s="68">
        <v>143.39</v>
      </c>
      <c r="M24" s="68">
        <v>83.02</v>
      </c>
      <c r="N24" s="68">
        <v>60.38</v>
      </c>
      <c r="O24" s="68">
        <v>422.64</v>
      </c>
      <c r="P24" s="68">
        <v>211.32</v>
      </c>
      <c r="Q24" s="68">
        <v>377.36</v>
      </c>
      <c r="R24" s="68">
        <v>60.38</v>
      </c>
      <c r="S24" s="68">
        <v>0</v>
      </c>
      <c r="T24" s="68">
        <v>0</v>
      </c>
      <c r="U24" s="68">
        <v>0</v>
      </c>
      <c r="V24" s="68">
        <v>0</v>
      </c>
      <c r="W24" s="68">
        <v>1139.63</v>
      </c>
      <c r="X24" s="68">
        <v>1124.53</v>
      </c>
      <c r="Y24" s="68">
        <v>120.76</v>
      </c>
      <c r="Z24" s="68">
        <v>2032830.53</v>
      </c>
      <c r="AA24" s="68">
        <v>226.42</v>
      </c>
      <c r="AB24" s="68">
        <v>2700.66</v>
      </c>
      <c r="AC24" s="68">
        <v>0</v>
      </c>
      <c r="AD24" s="68">
        <v>1160.75</v>
      </c>
      <c r="AE24" s="68">
        <v>749581.55</v>
      </c>
      <c r="AF24" s="68">
        <v>1132.08</v>
      </c>
      <c r="AG24" s="68">
        <v>0</v>
      </c>
      <c r="AH24" s="68">
        <v>0</v>
      </c>
      <c r="AI24" s="68">
        <v>7.55</v>
      </c>
      <c r="AJ24" s="68">
        <v>0</v>
      </c>
      <c r="AK24" s="68">
        <v>0</v>
      </c>
      <c r="AL24" s="68">
        <v>0</v>
      </c>
      <c r="AM24" s="68">
        <v>113.21</v>
      </c>
      <c r="AN24" s="68">
        <v>384.91</v>
      </c>
      <c r="AO24" s="68">
        <v>286.79</v>
      </c>
      <c r="AP24" s="68">
        <v>271.7</v>
      </c>
      <c r="AQ24" s="68">
        <v>67.92</v>
      </c>
      <c r="AR24" s="68">
        <v>0</v>
      </c>
      <c r="AS24" s="68">
        <v>0</v>
      </c>
      <c r="AT24" s="68">
        <v>0</v>
      </c>
      <c r="AU24" s="68">
        <v>0</v>
      </c>
      <c r="AV24" s="68">
        <v>120.76</v>
      </c>
      <c r="AW24" s="68">
        <v>0</v>
      </c>
      <c r="AX24" s="68">
        <v>0</v>
      </c>
      <c r="AY24" s="68">
        <v>226.42</v>
      </c>
      <c r="AZ24" s="68">
        <v>0</v>
      </c>
      <c r="BA24" s="68">
        <v>4128.68</v>
      </c>
      <c r="BB24" s="68">
        <v>9236.49</v>
      </c>
      <c r="BC24" s="68">
        <v>90.57</v>
      </c>
      <c r="BD24" s="68">
        <v>45.28</v>
      </c>
      <c r="BE24" s="68">
        <v>0</v>
      </c>
      <c r="BF24" s="68">
        <v>736080.53</v>
      </c>
      <c r="BG24" s="68">
        <v>8494.3</v>
      </c>
      <c r="BH24" s="68">
        <v>1599.3</v>
      </c>
      <c r="BI24" s="68">
        <v>55355.77</v>
      </c>
      <c r="BJ24" s="68">
        <v>5656.4</v>
      </c>
      <c r="BK24" s="68">
        <v>10000</v>
      </c>
      <c r="BL24" s="68">
        <v>10876.25</v>
      </c>
      <c r="BM24" s="68">
        <v>5041.02</v>
      </c>
      <c r="BN24" s="68">
        <v>9482.26</v>
      </c>
      <c r="BO24" s="68">
        <v>48325.56</v>
      </c>
      <c r="BP24" s="68">
        <v>9180.99</v>
      </c>
      <c r="BQ24" s="68">
        <v>2915.76</v>
      </c>
      <c r="BR24" s="68">
        <v>7109.14</v>
      </c>
      <c r="BS24" s="68">
        <v>28858.77</v>
      </c>
      <c r="BT24" s="68">
        <v>9326.42</v>
      </c>
      <c r="BU24" s="68">
        <v>23571.53</v>
      </c>
      <c r="BV24" s="68">
        <v>9080.86</v>
      </c>
      <c r="BW24" s="68">
        <v>6562.89</v>
      </c>
      <c r="BX24" s="68">
        <v>9697.76</v>
      </c>
      <c r="BY24" s="68">
        <v>3901.78</v>
      </c>
      <c r="BZ24" s="68">
        <v>14258.36</v>
      </c>
      <c r="CA24" s="68">
        <v>9901.89</v>
      </c>
      <c r="CB24" s="68">
        <v>3997.29</v>
      </c>
      <c r="CC24" s="68">
        <v>9890.15</v>
      </c>
      <c r="CD24" s="68">
        <v>1460.39</v>
      </c>
      <c r="CE24" s="68">
        <v>21218.78</v>
      </c>
      <c r="CF24" s="68">
        <v>876.42</v>
      </c>
      <c r="CG24" s="68">
        <v>6326.41</v>
      </c>
      <c r="CH24" s="68">
        <v>10555.63</v>
      </c>
      <c r="CI24" s="68">
        <v>5819.31</v>
      </c>
      <c r="CJ24" s="68">
        <v>135.85</v>
      </c>
      <c r="CK24" s="68">
        <v>11088.54</v>
      </c>
      <c r="CL24" s="68">
        <v>20237.94</v>
      </c>
      <c r="CM24" s="68">
        <v>150.94</v>
      </c>
      <c r="CN24" s="68">
        <v>5833.57</v>
      </c>
      <c r="CO24" s="68">
        <v>241.51</v>
      </c>
      <c r="CP24" s="68">
        <v>25054.51</v>
      </c>
      <c r="CQ24" s="68">
        <v>8825.46</v>
      </c>
      <c r="CR24" s="68">
        <v>21450.16</v>
      </c>
      <c r="CS24" s="68">
        <v>3744.42</v>
      </c>
      <c r="CT24" s="68">
        <v>1275.94</v>
      </c>
      <c r="CU24" s="68">
        <v>4890.94</v>
      </c>
      <c r="CV24" s="68">
        <v>9160.29</v>
      </c>
      <c r="CW24" s="68">
        <v>4130.57</v>
      </c>
      <c r="CX24" s="68">
        <v>6006.41</v>
      </c>
      <c r="CY24" s="68">
        <v>20377.36</v>
      </c>
      <c r="CZ24" s="68">
        <v>150.94</v>
      </c>
      <c r="DA24" s="68">
        <v>14002.94</v>
      </c>
      <c r="DB24" s="68">
        <v>1650.94</v>
      </c>
      <c r="DC24" s="68">
        <v>8499.62</v>
      </c>
      <c r="DD24" s="68">
        <v>9328.92</v>
      </c>
      <c r="DE24" s="68">
        <v>8920.94</v>
      </c>
      <c r="DF24" s="68">
        <v>8632.42</v>
      </c>
      <c r="DG24" s="68">
        <v>6060.94</v>
      </c>
      <c r="DH24" s="68">
        <v>3593.42</v>
      </c>
      <c r="DI24" s="68">
        <v>8059.98</v>
      </c>
      <c r="DJ24" s="68">
        <v>5425.42</v>
      </c>
      <c r="DK24" s="68">
        <v>7588.94</v>
      </c>
      <c r="DL24" s="68">
        <v>5951.89</v>
      </c>
      <c r="DM24" s="68">
        <v>4329.69</v>
      </c>
      <c r="DN24" s="68">
        <v>10442.11</v>
      </c>
      <c r="DO24" s="68">
        <v>3196.42</v>
      </c>
      <c r="DP24" s="68">
        <v>11356.07</v>
      </c>
      <c r="DQ24" s="68">
        <v>59666.94</v>
      </c>
      <c r="DR24" s="68">
        <v>19130.94</v>
      </c>
      <c r="DS24" s="68">
        <v>34859.92</v>
      </c>
      <c r="DT24" s="68">
        <v>13285.33</v>
      </c>
      <c r="DU24" s="68">
        <v>0</v>
      </c>
      <c r="DV24" s="68"/>
      <c r="DW24" s="68"/>
      <c r="DX24" s="68"/>
      <c r="DY24" s="68"/>
      <c r="DZ24" s="68"/>
      <c r="EA24" s="63">
        <v>-749581.55</v>
      </c>
      <c r="EB24" s="63">
        <f t="shared" si="0"/>
        <v>12340.27</v>
      </c>
      <c r="EC24" s="63">
        <f t="shared" si="3"/>
        <v>1458875.73</v>
      </c>
      <c r="ED24" s="63">
        <f t="shared" si="1"/>
        <v>750721.18</v>
      </c>
      <c r="EE24" s="63">
        <f t="shared" si="2"/>
        <v>-2032604.11</v>
      </c>
      <c r="EF24" s="63">
        <f t="shared" si="4"/>
        <v>-15.0999999999999</v>
      </c>
      <c r="EG24" s="63">
        <f t="shared" si="5"/>
        <v>-1003.77</v>
      </c>
    </row>
    <row r="25" spans="1:137">
      <c r="A25" s="57" t="s">
        <v>115</v>
      </c>
      <c r="B25" s="68">
        <v>5276122.38</v>
      </c>
      <c r="C25" s="68">
        <v>7296</v>
      </c>
      <c r="D25" s="68">
        <v>21888</v>
      </c>
      <c r="E25" s="68">
        <v>7296</v>
      </c>
      <c r="F25" s="68">
        <v>38505</v>
      </c>
      <c r="G25" s="68">
        <v>14843.17</v>
      </c>
      <c r="H25" s="68">
        <v>14592</v>
      </c>
      <c r="I25" s="68">
        <v>21226.42</v>
      </c>
      <c r="J25" s="68">
        <v>0</v>
      </c>
      <c r="K25" s="68">
        <v>0</v>
      </c>
      <c r="L25" s="68">
        <v>0</v>
      </c>
      <c r="M25" s="68">
        <v>864152.15</v>
      </c>
      <c r="N25" s="68">
        <v>0</v>
      </c>
      <c r="O25" s="68">
        <v>116741.28</v>
      </c>
      <c r="P25" s="68">
        <v>0</v>
      </c>
      <c r="Q25" s="68">
        <v>1411.16999999999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8">
        <v>302505.68</v>
      </c>
      <c r="X25" s="68">
        <v>247797.2</v>
      </c>
      <c r="Y25" s="68">
        <v>1711463.26</v>
      </c>
      <c r="Z25" s="68">
        <v>438410</v>
      </c>
      <c r="AA25" s="68">
        <v>7296</v>
      </c>
      <c r="AB25" s="68">
        <v>0</v>
      </c>
      <c r="AC25" s="68">
        <v>0</v>
      </c>
      <c r="AD25" s="68">
        <v>0</v>
      </c>
      <c r="AE25" s="68">
        <v>1460699.05</v>
      </c>
      <c r="AF25" s="68">
        <v>7296</v>
      </c>
      <c r="AG25" s="68">
        <v>98233.54</v>
      </c>
      <c r="AH25" s="68">
        <v>51063.74</v>
      </c>
      <c r="AI25" s="68">
        <v>91553.87</v>
      </c>
      <c r="AJ25" s="68">
        <v>8352.6</v>
      </c>
      <c r="AK25" s="68">
        <v>24126.19</v>
      </c>
      <c r="AL25" s="68">
        <v>21879.74</v>
      </c>
      <c r="AM25" s="68">
        <v>14592</v>
      </c>
      <c r="AN25" s="68">
        <v>14592</v>
      </c>
      <c r="AO25" s="68">
        <v>14592</v>
      </c>
      <c r="AP25" s="68">
        <v>204021.2</v>
      </c>
      <c r="AQ25" s="68">
        <v>0</v>
      </c>
      <c r="AR25" s="68">
        <v>0</v>
      </c>
      <c r="AS25" s="68">
        <v>0</v>
      </c>
      <c r="AT25" s="68">
        <v>0</v>
      </c>
      <c r="AU25" s="68">
        <v>1089338.21</v>
      </c>
      <c r="AV25" s="68">
        <v>346400.97</v>
      </c>
      <c r="AW25" s="68">
        <v>275724.08</v>
      </c>
      <c r="AX25" s="68">
        <v>0</v>
      </c>
      <c r="AY25" s="68">
        <v>7296</v>
      </c>
      <c r="AZ25" s="68">
        <v>0</v>
      </c>
      <c r="BA25" s="68">
        <v>7296</v>
      </c>
      <c r="BB25" s="68">
        <v>356617.19</v>
      </c>
      <c r="BC25" s="68">
        <v>14239.58</v>
      </c>
      <c r="BD25" s="68">
        <v>7296</v>
      </c>
      <c r="BE25" s="68">
        <v>0</v>
      </c>
      <c r="BF25" s="68">
        <v>1075250.28</v>
      </c>
      <c r="BG25" s="68">
        <v>80500.18</v>
      </c>
      <c r="BH25" s="68">
        <v>62337.67</v>
      </c>
      <c r="BI25" s="68">
        <v>37036.27</v>
      </c>
      <c r="BJ25" s="68">
        <v>34935.7</v>
      </c>
      <c r="BK25" s="68">
        <v>105717.33</v>
      </c>
      <c r="BL25" s="68">
        <v>45002.87</v>
      </c>
      <c r="BM25" s="68">
        <v>14112.16</v>
      </c>
      <c r="BN25" s="68">
        <v>58787.85</v>
      </c>
      <c r="BO25" s="68">
        <v>18619.77</v>
      </c>
      <c r="BP25" s="68">
        <v>13045.79</v>
      </c>
      <c r="BQ25" s="68">
        <v>29751.7</v>
      </c>
      <c r="BR25" s="68">
        <v>17024.21</v>
      </c>
      <c r="BS25" s="68">
        <v>92550.84</v>
      </c>
      <c r="BT25" s="68">
        <v>13540.97</v>
      </c>
      <c r="BU25" s="68">
        <v>11109.6</v>
      </c>
      <c r="BV25" s="68">
        <v>26016.86</v>
      </c>
      <c r="BW25" s="68">
        <v>20743.12</v>
      </c>
      <c r="BX25" s="68">
        <v>97795.37</v>
      </c>
      <c r="BY25" s="68">
        <v>34170.06</v>
      </c>
      <c r="BZ25" s="68">
        <v>12980.56</v>
      </c>
      <c r="CA25" s="68">
        <v>11521.13</v>
      </c>
      <c r="CB25" s="68">
        <v>27669.57</v>
      </c>
      <c r="CC25" s="68">
        <v>3569.24</v>
      </c>
      <c r="CD25" s="68">
        <v>6552.58</v>
      </c>
      <c r="CE25" s="68">
        <v>15772.98</v>
      </c>
      <c r="CF25" s="68">
        <v>4854.09</v>
      </c>
      <c r="CG25" s="68">
        <v>17029.86</v>
      </c>
      <c r="CH25" s="68">
        <v>63724.07</v>
      </c>
      <c r="CI25" s="68">
        <v>33442.56</v>
      </c>
      <c r="CJ25" s="68">
        <v>6899.42</v>
      </c>
      <c r="CK25" s="68">
        <v>2175.9</v>
      </c>
      <c r="CL25" s="68">
        <v>3741.35</v>
      </c>
      <c r="CM25" s="68">
        <v>2543.69</v>
      </c>
      <c r="CN25" s="68">
        <v>3579.84</v>
      </c>
      <c r="CO25" s="68">
        <v>4474.1</v>
      </c>
      <c r="CP25" s="68">
        <v>11157.71</v>
      </c>
      <c r="CQ25" s="68">
        <v>13153.69</v>
      </c>
      <c r="CR25" s="68">
        <v>1234.7</v>
      </c>
      <c r="CS25" s="68">
        <v>539.48</v>
      </c>
      <c r="CT25" s="68">
        <v>273.76</v>
      </c>
      <c r="CU25" s="68">
        <v>513.28</v>
      </c>
      <c r="CV25" s="68">
        <v>407.94</v>
      </c>
      <c r="CW25" s="68">
        <v>846.76</v>
      </c>
      <c r="CX25" s="68">
        <v>1400.69</v>
      </c>
      <c r="CY25" s="68">
        <v>333.82</v>
      </c>
      <c r="CZ25" s="68">
        <v>226.95</v>
      </c>
      <c r="DA25" s="68">
        <v>285.54</v>
      </c>
      <c r="DB25" s="68">
        <v>181.45</v>
      </c>
      <c r="DC25" s="68">
        <v>989.14</v>
      </c>
      <c r="DD25" s="68">
        <v>579.2</v>
      </c>
      <c r="DE25" s="68">
        <v>743.16</v>
      </c>
      <c r="DF25" s="68">
        <v>388.29</v>
      </c>
      <c r="DG25" s="68">
        <v>587.7</v>
      </c>
      <c r="DH25" s="68">
        <v>319.16</v>
      </c>
      <c r="DI25" s="68">
        <v>212.36</v>
      </c>
      <c r="DJ25" s="68">
        <v>441.99</v>
      </c>
      <c r="DK25" s="68">
        <v>356.7</v>
      </c>
      <c r="DL25" s="68">
        <v>175.67</v>
      </c>
      <c r="DM25" s="68">
        <v>703.84</v>
      </c>
      <c r="DN25" s="68">
        <v>906.4</v>
      </c>
      <c r="DO25" s="68">
        <v>1235.33</v>
      </c>
      <c r="DP25" s="68">
        <v>636.4</v>
      </c>
      <c r="DQ25" s="68">
        <v>90.16</v>
      </c>
      <c r="DR25" s="68">
        <v>332.49</v>
      </c>
      <c r="DS25" s="68">
        <v>2317.06</v>
      </c>
      <c r="DT25" s="68">
        <v>350.2</v>
      </c>
      <c r="DU25" s="68">
        <v>0</v>
      </c>
      <c r="DV25" s="68"/>
      <c r="DW25" s="68"/>
      <c r="DX25" s="68"/>
      <c r="DY25" s="68"/>
      <c r="DZ25" s="68"/>
      <c r="EA25" s="63">
        <v>-1460699.05</v>
      </c>
      <c r="EB25" s="63">
        <f t="shared" si="0"/>
        <v>385448.77</v>
      </c>
      <c r="EC25" s="63">
        <f t="shared" si="3"/>
        <v>2150150.36</v>
      </c>
      <c r="ED25" s="63">
        <f t="shared" si="1"/>
        <v>1741324.99</v>
      </c>
      <c r="EE25" s="63">
        <f t="shared" si="2"/>
        <v>-431114</v>
      </c>
      <c r="EF25" s="63">
        <f t="shared" si="4"/>
        <v>-32828.74</v>
      </c>
      <c r="EG25" s="63">
        <f t="shared" si="5"/>
        <v>1463666.06</v>
      </c>
    </row>
    <row r="26" spans="1:137">
      <c r="A26" s="57" t="s">
        <v>116</v>
      </c>
      <c r="B26" s="68">
        <v>3147810.66</v>
      </c>
      <c r="C26" s="68">
        <v>0</v>
      </c>
      <c r="D26" s="68">
        <v>0</v>
      </c>
      <c r="E26" s="68">
        <v>0</v>
      </c>
      <c r="F26" s="68">
        <v>1296983.65</v>
      </c>
      <c r="G26" s="68">
        <v>0</v>
      </c>
      <c r="H26" s="68">
        <v>9066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23309.44</v>
      </c>
      <c r="O26" s="68">
        <v>19362.42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8">
        <v>225473.93</v>
      </c>
      <c r="X26" s="68">
        <v>349347.65</v>
      </c>
      <c r="Y26" s="68">
        <v>66574.18</v>
      </c>
      <c r="Z26" s="68">
        <v>35366.98</v>
      </c>
      <c r="AA26" s="68">
        <v>8830.16</v>
      </c>
      <c r="AB26" s="68">
        <v>0</v>
      </c>
      <c r="AC26" s="68">
        <v>0</v>
      </c>
      <c r="AD26" s="68">
        <v>37294.42</v>
      </c>
      <c r="AE26" s="68">
        <v>1076201.83</v>
      </c>
      <c r="AF26" s="68">
        <v>0</v>
      </c>
      <c r="AG26" s="68">
        <v>69995.47</v>
      </c>
      <c r="AH26" s="68">
        <v>86304.28</v>
      </c>
      <c r="AI26" s="68">
        <v>0</v>
      </c>
      <c r="AJ26" s="68">
        <v>0</v>
      </c>
      <c r="AK26" s="68">
        <v>0</v>
      </c>
      <c r="AL26" s="68">
        <v>69174.18</v>
      </c>
      <c r="AM26" s="68">
        <v>34773.51</v>
      </c>
      <c r="AN26" s="68">
        <v>178079.36</v>
      </c>
      <c r="AO26" s="68">
        <v>65316.84</v>
      </c>
      <c r="AP26" s="68">
        <v>56942.35</v>
      </c>
      <c r="AQ26" s="68">
        <v>14235.59</v>
      </c>
      <c r="AR26" s="68">
        <v>0</v>
      </c>
      <c r="AS26" s="68">
        <v>0</v>
      </c>
      <c r="AT26" s="68">
        <v>0</v>
      </c>
      <c r="AU26" s="68">
        <v>0</v>
      </c>
      <c r="AV26" s="68">
        <v>0</v>
      </c>
      <c r="AW26" s="68">
        <v>0</v>
      </c>
      <c r="AX26" s="68">
        <v>66574.18</v>
      </c>
      <c r="AY26" s="68">
        <v>8830.16</v>
      </c>
      <c r="AZ26" s="68">
        <v>0</v>
      </c>
      <c r="BA26" s="68">
        <v>212915.28</v>
      </c>
      <c r="BB26" s="68">
        <v>0</v>
      </c>
      <c r="BC26" s="68">
        <v>53398.06</v>
      </c>
      <c r="BD26" s="68">
        <v>35375.28</v>
      </c>
      <c r="BE26" s="68">
        <v>0</v>
      </c>
      <c r="BF26" s="68">
        <v>774513.21</v>
      </c>
      <c r="BG26" s="68">
        <v>0</v>
      </c>
      <c r="BH26" s="68">
        <v>0</v>
      </c>
      <c r="BI26" s="68">
        <v>33061.5</v>
      </c>
      <c r="BJ26" s="68">
        <v>235754.71</v>
      </c>
      <c r="BK26" s="68">
        <v>122854</v>
      </c>
      <c r="BL26" s="68">
        <v>3943.13</v>
      </c>
      <c r="BM26" s="68">
        <v>5252.45</v>
      </c>
      <c r="BN26" s="68">
        <v>0</v>
      </c>
      <c r="BO26" s="68">
        <v>7305</v>
      </c>
      <c r="BP26" s="68">
        <v>10108</v>
      </c>
      <c r="BQ26" s="68">
        <v>5011.25</v>
      </c>
      <c r="BR26" s="68">
        <v>0</v>
      </c>
      <c r="BS26" s="68">
        <v>0</v>
      </c>
      <c r="BT26" s="68">
        <v>0</v>
      </c>
      <c r="BU26" s="68">
        <v>0</v>
      </c>
      <c r="BV26" s="68">
        <v>55970.17</v>
      </c>
      <c r="BW26" s="68">
        <v>0</v>
      </c>
      <c r="BX26" s="68">
        <v>0</v>
      </c>
      <c r="BY26" s="68">
        <v>0</v>
      </c>
      <c r="BZ26" s="68">
        <v>0</v>
      </c>
      <c r="CA26" s="68">
        <v>0</v>
      </c>
      <c r="CB26" s="68">
        <v>88976</v>
      </c>
      <c r="CC26" s="68">
        <v>1904</v>
      </c>
      <c r="CD26" s="68">
        <v>0</v>
      </c>
      <c r="CE26" s="68">
        <v>0</v>
      </c>
      <c r="CF26" s="68">
        <v>0</v>
      </c>
      <c r="CG26" s="68">
        <v>63053</v>
      </c>
      <c r="CH26" s="68">
        <v>2357</v>
      </c>
      <c r="CI26" s="68">
        <v>210</v>
      </c>
      <c r="CJ26" s="68">
        <v>0</v>
      </c>
      <c r="CK26" s="68">
        <v>0</v>
      </c>
      <c r="CL26" s="68">
        <v>48459</v>
      </c>
      <c r="CM26" s="68">
        <v>0</v>
      </c>
      <c r="CN26" s="68">
        <v>0</v>
      </c>
      <c r="CO26" s="68">
        <v>0</v>
      </c>
      <c r="CP26" s="68">
        <v>0</v>
      </c>
      <c r="CQ26" s="68">
        <v>0</v>
      </c>
      <c r="CR26" s="68">
        <v>0</v>
      </c>
      <c r="CS26" s="68">
        <v>0</v>
      </c>
      <c r="CT26" s="68">
        <v>0</v>
      </c>
      <c r="CU26" s="68">
        <v>0</v>
      </c>
      <c r="CV26" s="68">
        <v>0</v>
      </c>
      <c r="CW26" s="68">
        <v>0</v>
      </c>
      <c r="CX26" s="68">
        <v>0</v>
      </c>
      <c r="CY26" s="68">
        <v>0</v>
      </c>
      <c r="CZ26" s="68">
        <v>0</v>
      </c>
      <c r="DA26" s="68">
        <v>0</v>
      </c>
      <c r="DB26" s="68">
        <v>0</v>
      </c>
      <c r="DC26" s="68">
        <v>0</v>
      </c>
      <c r="DD26" s="68">
        <v>0</v>
      </c>
      <c r="DE26" s="68">
        <v>0</v>
      </c>
      <c r="DF26" s="68">
        <v>19332</v>
      </c>
      <c r="DG26" s="68">
        <v>4867</v>
      </c>
      <c r="DH26" s="68">
        <v>0</v>
      </c>
      <c r="DI26" s="68">
        <v>0</v>
      </c>
      <c r="DJ26" s="68">
        <v>0</v>
      </c>
      <c r="DK26" s="68">
        <v>0</v>
      </c>
      <c r="DL26" s="68">
        <v>8855</v>
      </c>
      <c r="DM26" s="68">
        <v>0</v>
      </c>
      <c r="DN26" s="68">
        <v>0</v>
      </c>
      <c r="DO26" s="68">
        <v>52240</v>
      </c>
      <c r="DP26" s="68">
        <v>0</v>
      </c>
      <c r="DQ26" s="68">
        <v>0</v>
      </c>
      <c r="DR26" s="68">
        <v>0</v>
      </c>
      <c r="DS26" s="68">
        <v>0</v>
      </c>
      <c r="DT26" s="68">
        <v>5000</v>
      </c>
      <c r="DU26" s="68">
        <v>0</v>
      </c>
      <c r="DV26" s="68"/>
      <c r="DW26" s="68"/>
      <c r="DX26" s="68"/>
      <c r="DY26" s="68"/>
      <c r="DZ26" s="68"/>
      <c r="EA26" s="63">
        <v>-1076201.83</v>
      </c>
      <c r="EB26" s="63">
        <f t="shared" si="0"/>
        <v>264394.2</v>
      </c>
      <c r="EC26" s="63">
        <f t="shared" si="3"/>
        <v>1544026.42</v>
      </c>
      <c r="ED26" s="63">
        <f t="shared" si="1"/>
        <v>1232501.58</v>
      </c>
      <c r="EE26" s="63">
        <f t="shared" si="2"/>
        <v>40037.36</v>
      </c>
      <c r="EF26" s="63">
        <f t="shared" si="4"/>
        <v>193047.9</v>
      </c>
      <c r="EG26" s="63">
        <f t="shared" si="5"/>
        <v>-349347.65</v>
      </c>
    </row>
    <row r="27" spans="1:137">
      <c r="A27" s="57" t="s">
        <v>117</v>
      </c>
      <c r="B27" s="68">
        <v>1090342.72</v>
      </c>
      <c r="C27" s="68">
        <v>0</v>
      </c>
      <c r="D27" s="68">
        <v>0</v>
      </c>
      <c r="E27" s="68">
        <v>7895.24</v>
      </c>
      <c r="F27" s="68">
        <v>76225.7</v>
      </c>
      <c r="G27" s="68">
        <v>18135.46</v>
      </c>
      <c r="H27" s="68">
        <v>922.33</v>
      </c>
      <c r="I27" s="68">
        <v>27324.79</v>
      </c>
      <c r="J27" s="68">
        <v>0</v>
      </c>
      <c r="K27" s="68">
        <v>3307.57</v>
      </c>
      <c r="L27" s="68">
        <v>225.25</v>
      </c>
      <c r="M27" s="68">
        <v>339.81</v>
      </c>
      <c r="N27" s="68">
        <v>241.84</v>
      </c>
      <c r="O27" s="68">
        <v>1217.48</v>
      </c>
      <c r="P27" s="68">
        <v>676.54</v>
      </c>
      <c r="Q27" s="68">
        <v>36.89</v>
      </c>
      <c r="R27" s="68">
        <v>6858.5</v>
      </c>
      <c r="S27" s="68">
        <v>0</v>
      </c>
      <c r="T27" s="68">
        <v>0</v>
      </c>
      <c r="U27" s="68">
        <v>0</v>
      </c>
      <c r="V27" s="68">
        <v>0</v>
      </c>
      <c r="W27" s="68">
        <v>18614.49</v>
      </c>
      <c r="X27" s="68">
        <v>362203.12</v>
      </c>
      <c r="Y27" s="68">
        <v>31345.58</v>
      </c>
      <c r="Z27" s="68">
        <v>9215.53</v>
      </c>
      <c r="AA27" s="68">
        <v>10441.9</v>
      </c>
      <c r="AB27" s="68">
        <v>2510.81</v>
      </c>
      <c r="AC27" s="68">
        <v>0</v>
      </c>
      <c r="AD27" s="68">
        <v>1799.75</v>
      </c>
      <c r="AE27" s="68">
        <v>510804.14</v>
      </c>
      <c r="AF27" s="68">
        <v>7562.41</v>
      </c>
      <c r="AG27" s="68">
        <v>1694.34</v>
      </c>
      <c r="AH27" s="68">
        <v>2460.33</v>
      </c>
      <c r="AI27" s="68">
        <v>2305.08</v>
      </c>
      <c r="AJ27" s="68">
        <v>1386</v>
      </c>
      <c r="AK27" s="68">
        <v>1643</v>
      </c>
      <c r="AL27" s="68">
        <v>1563.33</v>
      </c>
      <c r="AM27" s="68">
        <v>34757.28</v>
      </c>
      <c r="AN27" s="68">
        <v>238294.78</v>
      </c>
      <c r="AO27" s="68">
        <v>59150.63</v>
      </c>
      <c r="AP27" s="68">
        <v>14943.02</v>
      </c>
      <c r="AQ27" s="68">
        <v>3823.2</v>
      </c>
      <c r="AR27" s="68">
        <v>8896.96</v>
      </c>
      <c r="AS27" s="68">
        <v>2337.25</v>
      </c>
      <c r="AT27" s="68">
        <v>0</v>
      </c>
      <c r="AU27" s="68">
        <v>2749</v>
      </c>
      <c r="AV27" s="68">
        <v>26396</v>
      </c>
      <c r="AW27" s="68">
        <v>1747.58</v>
      </c>
      <c r="AX27" s="68">
        <v>453</v>
      </c>
      <c r="AY27" s="68">
        <v>10368.9</v>
      </c>
      <c r="AZ27" s="68">
        <v>73</v>
      </c>
      <c r="BA27" s="68">
        <v>39815.92</v>
      </c>
      <c r="BB27" s="68">
        <v>765.25</v>
      </c>
      <c r="BC27" s="68">
        <v>6264.86</v>
      </c>
      <c r="BD27" s="68">
        <v>14452.72</v>
      </c>
      <c r="BE27" s="68">
        <v>0</v>
      </c>
      <c r="BF27" s="68">
        <v>449505.39</v>
      </c>
      <c r="BG27" s="68">
        <v>31678.84</v>
      </c>
      <c r="BH27" s="68">
        <v>14466.63</v>
      </c>
      <c r="BI27" s="68">
        <v>4175.53</v>
      </c>
      <c r="BJ27" s="68">
        <v>12001.74</v>
      </c>
      <c r="BK27" s="68">
        <v>18453.32</v>
      </c>
      <c r="BL27" s="68">
        <v>12697.51</v>
      </c>
      <c r="BM27" s="68">
        <v>23235.98</v>
      </c>
      <c r="BN27" s="68">
        <v>4618.4</v>
      </c>
      <c r="BO27" s="68">
        <v>2658.56</v>
      </c>
      <c r="BP27" s="68">
        <v>277.74</v>
      </c>
      <c r="BQ27" s="68">
        <v>5308.01</v>
      </c>
      <c r="BR27" s="68">
        <v>21620.9</v>
      </c>
      <c r="BS27" s="68">
        <v>20415.69</v>
      </c>
      <c r="BT27" s="68">
        <v>3985.31</v>
      </c>
      <c r="BU27" s="68">
        <v>18139.53</v>
      </c>
      <c r="BV27" s="68">
        <v>8954.7</v>
      </c>
      <c r="BW27" s="68">
        <v>8859.9</v>
      </c>
      <c r="BX27" s="68">
        <v>2896.85</v>
      </c>
      <c r="BY27" s="68">
        <v>486.32</v>
      </c>
      <c r="BZ27" s="68">
        <v>10630.73</v>
      </c>
      <c r="CA27" s="68">
        <v>3766.94</v>
      </c>
      <c r="CB27" s="68">
        <v>8599.98</v>
      </c>
      <c r="CC27" s="68">
        <v>3004.63</v>
      </c>
      <c r="CD27" s="68">
        <v>5707.23</v>
      </c>
      <c r="CE27" s="68">
        <v>2972.65</v>
      </c>
      <c r="CF27" s="68">
        <v>11822.84</v>
      </c>
      <c r="CG27" s="68">
        <v>3011.54</v>
      </c>
      <c r="CH27" s="68">
        <v>6542.35</v>
      </c>
      <c r="CI27" s="68">
        <v>1202.95</v>
      </c>
      <c r="CJ27" s="68">
        <v>6594.62</v>
      </c>
      <c r="CK27" s="68">
        <v>1961.16</v>
      </c>
      <c r="CL27" s="68">
        <v>4992.64</v>
      </c>
      <c r="CM27" s="68">
        <v>1409.18</v>
      </c>
      <c r="CN27" s="68">
        <v>2845.65</v>
      </c>
      <c r="CO27" s="68">
        <v>8046.94</v>
      </c>
      <c r="CP27" s="68">
        <v>2096.62</v>
      </c>
      <c r="CQ27" s="68">
        <v>10575.99</v>
      </c>
      <c r="CR27" s="68">
        <v>4056.1</v>
      </c>
      <c r="CS27" s="68">
        <v>2386.19</v>
      </c>
      <c r="CT27" s="68">
        <v>2491.11</v>
      </c>
      <c r="CU27" s="68">
        <v>5798.59</v>
      </c>
      <c r="CV27" s="68">
        <v>1608.85</v>
      </c>
      <c r="CW27" s="68">
        <v>2659.76</v>
      </c>
      <c r="CX27" s="68">
        <v>865.96</v>
      </c>
      <c r="CY27" s="68">
        <v>6535.5</v>
      </c>
      <c r="CZ27" s="68">
        <v>3272.83</v>
      </c>
      <c r="DA27" s="68">
        <v>6154.5</v>
      </c>
      <c r="DB27" s="68">
        <v>6432.59</v>
      </c>
      <c r="DC27" s="68">
        <v>7257.5</v>
      </c>
      <c r="DD27" s="68">
        <v>5139.4</v>
      </c>
      <c r="DE27" s="68">
        <v>1149.31</v>
      </c>
      <c r="DF27" s="68">
        <v>2104.69</v>
      </c>
      <c r="DG27" s="68">
        <v>661.53</v>
      </c>
      <c r="DH27" s="68">
        <v>4337.15</v>
      </c>
      <c r="DI27" s="68">
        <v>2790.3</v>
      </c>
      <c r="DJ27" s="68">
        <v>2567.1</v>
      </c>
      <c r="DK27" s="68">
        <v>2036.65</v>
      </c>
      <c r="DL27" s="68">
        <v>5269.77</v>
      </c>
      <c r="DM27" s="68">
        <v>3882.06</v>
      </c>
      <c r="DN27" s="68">
        <v>2702.6</v>
      </c>
      <c r="DO27" s="68">
        <v>12288.74</v>
      </c>
      <c r="DP27" s="68">
        <v>3233.06</v>
      </c>
      <c r="DQ27" s="68">
        <v>20149.52</v>
      </c>
      <c r="DR27" s="68">
        <v>4214.4</v>
      </c>
      <c r="DS27" s="68">
        <v>11798.24</v>
      </c>
      <c r="DT27" s="68">
        <v>4945.29</v>
      </c>
      <c r="DU27" s="68">
        <v>0</v>
      </c>
      <c r="DV27" s="68"/>
      <c r="DW27" s="68"/>
      <c r="DX27" s="68"/>
      <c r="DY27" s="68"/>
      <c r="DZ27" s="68"/>
      <c r="EA27" s="63">
        <v>-510804.14</v>
      </c>
      <c r="EB27" s="63">
        <f t="shared" si="0"/>
        <v>59572</v>
      </c>
      <c r="EC27" s="63">
        <f t="shared" si="3"/>
        <v>894065.49</v>
      </c>
      <c r="ED27" s="63">
        <f t="shared" si="1"/>
        <v>527855.3</v>
      </c>
      <c r="EE27" s="63">
        <f t="shared" si="2"/>
        <v>1606.37</v>
      </c>
      <c r="EF27" s="63">
        <f t="shared" si="4"/>
        <v>345151.96</v>
      </c>
      <c r="EG27" s="63">
        <f t="shared" si="5"/>
        <v>-331310.54</v>
      </c>
    </row>
    <row r="28" spans="1:137">
      <c r="A28" s="57" t="s">
        <v>118</v>
      </c>
      <c r="B28" s="68">
        <v>391609.47</v>
      </c>
      <c r="C28" s="68">
        <v>12185.3</v>
      </c>
      <c r="D28" s="68">
        <v>0</v>
      </c>
      <c r="E28" s="68">
        <v>7340.72</v>
      </c>
      <c r="F28" s="68">
        <v>14006.94</v>
      </c>
      <c r="G28" s="68">
        <v>1457.32</v>
      </c>
      <c r="H28" s="68">
        <v>2098.6</v>
      </c>
      <c r="I28" s="68">
        <v>860</v>
      </c>
      <c r="J28" s="68">
        <v>0</v>
      </c>
      <c r="K28" s="68">
        <v>13747.4</v>
      </c>
      <c r="L28" s="68">
        <v>4225.19</v>
      </c>
      <c r="M28" s="68">
        <v>1636</v>
      </c>
      <c r="N28" s="68">
        <v>4803.47</v>
      </c>
      <c r="O28" s="68">
        <v>5100</v>
      </c>
      <c r="P28" s="68">
        <v>1048</v>
      </c>
      <c r="Q28" s="68">
        <v>413.5</v>
      </c>
      <c r="R28" s="68">
        <v>1720</v>
      </c>
      <c r="S28" s="68">
        <v>0</v>
      </c>
      <c r="T28" s="68">
        <v>0</v>
      </c>
      <c r="U28" s="68">
        <v>0</v>
      </c>
      <c r="V28" s="68">
        <v>0</v>
      </c>
      <c r="W28" s="68">
        <v>15410.45</v>
      </c>
      <c r="X28" s="68">
        <v>13783.36</v>
      </c>
      <c r="Y28" s="68">
        <v>4885.94</v>
      </c>
      <c r="Z28" s="68">
        <v>1388.45</v>
      </c>
      <c r="AA28" s="68">
        <v>780</v>
      </c>
      <c r="AB28" s="68">
        <v>0</v>
      </c>
      <c r="AC28" s="68">
        <v>0</v>
      </c>
      <c r="AD28" s="68">
        <v>6242.5</v>
      </c>
      <c r="AE28" s="68">
        <v>278476.33</v>
      </c>
      <c r="AF28" s="68">
        <v>6676.6</v>
      </c>
      <c r="AG28" s="68">
        <v>818.66</v>
      </c>
      <c r="AH28" s="68">
        <v>317.17</v>
      </c>
      <c r="AI28" s="68">
        <v>3566.8</v>
      </c>
      <c r="AJ28" s="68">
        <v>1260.4</v>
      </c>
      <c r="AK28" s="68">
        <v>1900.15</v>
      </c>
      <c r="AL28" s="68">
        <v>870.67</v>
      </c>
      <c r="AM28" s="68">
        <v>2464</v>
      </c>
      <c r="AN28" s="68">
        <v>4339</v>
      </c>
      <c r="AO28" s="68">
        <v>2512.82</v>
      </c>
      <c r="AP28" s="68">
        <v>862.52</v>
      </c>
      <c r="AQ28" s="68">
        <v>1130.63</v>
      </c>
      <c r="AR28" s="68">
        <v>2474.39</v>
      </c>
      <c r="AS28" s="68">
        <v>0</v>
      </c>
      <c r="AT28" s="68">
        <v>0</v>
      </c>
      <c r="AU28" s="68">
        <v>1067.04</v>
      </c>
      <c r="AV28" s="68">
        <v>1705.25</v>
      </c>
      <c r="AW28" s="68">
        <v>1315.65</v>
      </c>
      <c r="AX28" s="68">
        <v>798</v>
      </c>
      <c r="AY28" s="68">
        <v>780</v>
      </c>
      <c r="AZ28" s="68">
        <v>0</v>
      </c>
      <c r="BA28" s="68">
        <v>10758</v>
      </c>
      <c r="BB28" s="68">
        <v>0</v>
      </c>
      <c r="BC28" s="68">
        <v>0</v>
      </c>
      <c r="BD28" s="68">
        <v>0</v>
      </c>
      <c r="BE28" s="68">
        <v>0</v>
      </c>
      <c r="BF28" s="68">
        <v>267718.33</v>
      </c>
      <c r="BG28" s="68">
        <v>9993.63</v>
      </c>
      <c r="BH28" s="68">
        <v>17619.7</v>
      </c>
      <c r="BI28" s="68">
        <v>16152.13</v>
      </c>
      <c r="BJ28" s="68">
        <v>20000</v>
      </c>
      <c r="BK28" s="68">
        <v>20413.21</v>
      </c>
      <c r="BL28" s="68">
        <v>19505.9</v>
      </c>
      <c r="BM28" s="68">
        <v>4952</v>
      </c>
      <c r="BN28" s="68">
        <v>19148.64</v>
      </c>
      <c r="BO28" s="68">
        <v>0</v>
      </c>
      <c r="BP28" s="68">
        <v>6270</v>
      </c>
      <c r="BQ28" s="68">
        <v>30840.62</v>
      </c>
      <c r="BR28" s="68">
        <v>2275.91</v>
      </c>
      <c r="BS28" s="68">
        <v>17932.08</v>
      </c>
      <c r="BT28" s="68">
        <v>3900</v>
      </c>
      <c r="BU28" s="68">
        <v>3760</v>
      </c>
      <c r="BV28" s="68">
        <v>2096</v>
      </c>
      <c r="BW28" s="68">
        <v>240</v>
      </c>
      <c r="BX28" s="68">
        <v>6180.3</v>
      </c>
      <c r="BY28" s="68">
        <v>0</v>
      </c>
      <c r="BZ28" s="68">
        <v>2931.74</v>
      </c>
      <c r="CA28" s="68">
        <v>3578.27</v>
      </c>
      <c r="CB28" s="68">
        <v>10393</v>
      </c>
      <c r="CC28" s="68">
        <v>120.4</v>
      </c>
      <c r="CD28" s="68">
        <v>1581.71</v>
      </c>
      <c r="CE28" s="68">
        <v>1500</v>
      </c>
      <c r="CF28" s="68">
        <v>2151.2</v>
      </c>
      <c r="CG28" s="68">
        <v>0</v>
      </c>
      <c r="CH28" s="68">
        <v>840.1</v>
      </c>
      <c r="CI28" s="68">
        <v>4212</v>
      </c>
      <c r="CJ28" s="68">
        <v>321</v>
      </c>
      <c r="CK28" s="68">
        <v>0</v>
      </c>
      <c r="CL28" s="68">
        <v>152.8</v>
      </c>
      <c r="CM28" s="68">
        <v>2288</v>
      </c>
      <c r="CN28" s="68">
        <v>516</v>
      </c>
      <c r="CO28" s="68">
        <v>0</v>
      </c>
      <c r="CP28" s="68">
        <v>0</v>
      </c>
      <c r="CQ28" s="68">
        <v>264.68</v>
      </c>
      <c r="CR28" s="68">
        <v>0</v>
      </c>
      <c r="CS28" s="68">
        <v>1247.8</v>
      </c>
      <c r="CT28" s="68">
        <v>276</v>
      </c>
      <c r="CU28" s="68">
        <v>384.2</v>
      </c>
      <c r="CV28" s="68">
        <v>2725.79</v>
      </c>
      <c r="CW28" s="68">
        <v>472.65</v>
      </c>
      <c r="CX28" s="68">
        <v>406.8</v>
      </c>
      <c r="CY28" s="68">
        <v>1152.66</v>
      </c>
      <c r="CZ28" s="68">
        <v>1078.03</v>
      </c>
      <c r="DA28" s="68">
        <v>1334.04</v>
      </c>
      <c r="DB28" s="68">
        <v>1890</v>
      </c>
      <c r="DC28" s="68">
        <v>2992.58</v>
      </c>
      <c r="DD28" s="68">
        <v>993.2</v>
      </c>
      <c r="DE28" s="68">
        <v>647.4</v>
      </c>
      <c r="DF28" s="68">
        <v>3356.1</v>
      </c>
      <c r="DG28" s="68">
        <v>0</v>
      </c>
      <c r="DH28" s="68">
        <v>3946.08</v>
      </c>
      <c r="DI28" s="68">
        <v>2600</v>
      </c>
      <c r="DJ28" s="68">
        <v>390</v>
      </c>
      <c r="DK28" s="68">
        <v>316.4</v>
      </c>
      <c r="DL28" s="68">
        <v>0</v>
      </c>
      <c r="DM28" s="68">
        <v>517.5</v>
      </c>
      <c r="DN28" s="68">
        <v>561.16</v>
      </c>
      <c r="DO28" s="68">
        <v>4488.49</v>
      </c>
      <c r="DP28" s="68">
        <v>244.32</v>
      </c>
      <c r="DQ28" s="68">
        <v>1313.81</v>
      </c>
      <c r="DR28" s="68">
        <v>699.5</v>
      </c>
      <c r="DS28" s="68">
        <v>938.8</v>
      </c>
      <c r="DT28" s="68">
        <v>614</v>
      </c>
      <c r="DU28" s="68">
        <v>0</v>
      </c>
      <c r="DV28" s="68"/>
      <c r="DW28" s="68"/>
      <c r="DX28" s="68"/>
      <c r="DY28" s="68"/>
      <c r="DZ28" s="68"/>
      <c r="EA28" s="63">
        <v>-278476.33</v>
      </c>
      <c r="EB28" s="63">
        <f t="shared" si="0"/>
        <v>4515.5</v>
      </c>
      <c r="EC28" s="63">
        <f t="shared" si="3"/>
        <v>534822.66</v>
      </c>
      <c r="ED28" s="63">
        <f t="shared" si="1"/>
        <v>293016.11</v>
      </c>
      <c r="EE28" s="63">
        <f t="shared" si="2"/>
        <v>189.55</v>
      </c>
      <c r="EF28" s="63">
        <f t="shared" si="4"/>
        <v>-756.420000000002</v>
      </c>
      <c r="EG28" s="63">
        <f t="shared" si="5"/>
        <v>-9695.42</v>
      </c>
    </row>
    <row r="29" spans="1:137">
      <c r="A29" s="57" t="s">
        <v>119</v>
      </c>
      <c r="B29" s="68">
        <v>999319.46</v>
      </c>
      <c r="C29" s="68">
        <v>66584.8</v>
      </c>
      <c r="D29" s="68">
        <v>0</v>
      </c>
      <c r="E29" s="68">
        <v>20376.68</v>
      </c>
      <c r="F29" s="68">
        <v>53558.62</v>
      </c>
      <c r="G29" s="68">
        <v>29051.87</v>
      </c>
      <c r="H29" s="68">
        <v>10382.22</v>
      </c>
      <c r="I29" s="68">
        <v>10082.68</v>
      </c>
      <c r="J29" s="68">
        <v>0</v>
      </c>
      <c r="K29" s="68">
        <v>2925.4</v>
      </c>
      <c r="L29" s="68">
        <v>4566.91</v>
      </c>
      <c r="M29" s="68">
        <v>2011.97</v>
      </c>
      <c r="N29" s="68">
        <v>7469.82</v>
      </c>
      <c r="O29" s="68">
        <v>11092.54</v>
      </c>
      <c r="P29" s="68">
        <v>2180.13</v>
      </c>
      <c r="Q29" s="68">
        <v>3900.66</v>
      </c>
      <c r="R29" s="68">
        <v>2587.9</v>
      </c>
      <c r="S29" s="68">
        <v>0</v>
      </c>
      <c r="T29" s="68">
        <v>0</v>
      </c>
      <c r="U29" s="68">
        <v>0</v>
      </c>
      <c r="V29" s="68">
        <v>0</v>
      </c>
      <c r="W29" s="68">
        <v>72264.69</v>
      </c>
      <c r="X29" s="68">
        <v>269212.07</v>
      </c>
      <c r="Y29" s="68">
        <v>66439.39</v>
      </c>
      <c r="Z29" s="68">
        <v>20686.57</v>
      </c>
      <c r="AA29" s="68">
        <v>18370.24</v>
      </c>
      <c r="AB29" s="68">
        <v>39037.35</v>
      </c>
      <c r="AC29" s="68">
        <v>0</v>
      </c>
      <c r="AD29" s="68">
        <v>4656.98</v>
      </c>
      <c r="AE29" s="68">
        <v>281879.97</v>
      </c>
      <c r="AF29" s="68">
        <v>11334.26</v>
      </c>
      <c r="AG29" s="68">
        <v>3097.41</v>
      </c>
      <c r="AH29" s="68">
        <v>4979.8</v>
      </c>
      <c r="AI29" s="68">
        <v>4085.61</v>
      </c>
      <c r="AJ29" s="68">
        <v>36625.96</v>
      </c>
      <c r="AK29" s="68">
        <v>7968.74</v>
      </c>
      <c r="AL29" s="68">
        <v>4172.91</v>
      </c>
      <c r="AM29" s="68">
        <v>14688.72</v>
      </c>
      <c r="AN29" s="68">
        <v>71192.67</v>
      </c>
      <c r="AO29" s="68">
        <v>60831.99</v>
      </c>
      <c r="AP29" s="68">
        <v>74748.12</v>
      </c>
      <c r="AQ29" s="68">
        <v>27350.46</v>
      </c>
      <c r="AR29" s="68">
        <v>15182.11</v>
      </c>
      <c r="AS29" s="68">
        <v>5218</v>
      </c>
      <c r="AT29" s="68">
        <v>0</v>
      </c>
      <c r="AU29" s="68">
        <v>31619.95</v>
      </c>
      <c r="AV29" s="68">
        <v>26469.26</v>
      </c>
      <c r="AW29" s="68">
        <v>5229.15</v>
      </c>
      <c r="AX29" s="68">
        <v>3121.03</v>
      </c>
      <c r="AY29" s="68">
        <v>7754.75</v>
      </c>
      <c r="AZ29" s="68">
        <v>10615.49</v>
      </c>
      <c r="BA29" s="68">
        <v>9823.02</v>
      </c>
      <c r="BB29" s="68">
        <v>13548.85</v>
      </c>
      <c r="BC29" s="68">
        <v>9348.43</v>
      </c>
      <c r="BD29" s="68">
        <v>2931.16</v>
      </c>
      <c r="BE29" s="68">
        <v>0</v>
      </c>
      <c r="BF29" s="68">
        <v>246228.51</v>
      </c>
      <c r="BG29" s="68">
        <v>8648.46</v>
      </c>
      <c r="BH29" s="68">
        <v>1786</v>
      </c>
      <c r="BI29" s="68">
        <v>8000</v>
      </c>
      <c r="BJ29" s="68">
        <v>713</v>
      </c>
      <c r="BK29" s="68">
        <v>1047.84</v>
      </c>
      <c r="BL29" s="68">
        <v>1246.2</v>
      </c>
      <c r="BM29" s="68">
        <v>0</v>
      </c>
      <c r="BN29" s="68">
        <v>384</v>
      </c>
      <c r="BO29" s="68">
        <v>7439.5</v>
      </c>
      <c r="BP29" s="68">
        <v>6070</v>
      </c>
      <c r="BQ29" s="68">
        <v>3998.05</v>
      </c>
      <c r="BR29" s="68">
        <v>16</v>
      </c>
      <c r="BS29" s="68">
        <v>8771.2</v>
      </c>
      <c r="BT29" s="68">
        <v>6042.7</v>
      </c>
      <c r="BU29" s="68">
        <v>3784.7</v>
      </c>
      <c r="BV29" s="68">
        <v>987</v>
      </c>
      <c r="BW29" s="68">
        <v>1235</v>
      </c>
      <c r="BX29" s="68">
        <v>3895</v>
      </c>
      <c r="BY29" s="68">
        <v>260</v>
      </c>
      <c r="BZ29" s="68">
        <v>219.5</v>
      </c>
      <c r="CA29" s="68">
        <v>920</v>
      </c>
      <c r="CB29" s="68">
        <v>8000</v>
      </c>
      <c r="CC29" s="68">
        <v>7857.69</v>
      </c>
      <c r="CD29" s="68">
        <v>1263</v>
      </c>
      <c r="CE29" s="68">
        <v>1750</v>
      </c>
      <c r="CF29" s="68">
        <v>1785.33</v>
      </c>
      <c r="CG29" s="68">
        <v>0</v>
      </c>
      <c r="CH29" s="68">
        <v>1729.96</v>
      </c>
      <c r="CI29" s="68">
        <v>0</v>
      </c>
      <c r="CJ29" s="68">
        <v>4283.84</v>
      </c>
      <c r="CK29" s="68">
        <v>6850</v>
      </c>
      <c r="CL29" s="68">
        <v>4117.1</v>
      </c>
      <c r="CM29" s="68">
        <v>0</v>
      </c>
      <c r="CN29" s="68">
        <v>315</v>
      </c>
      <c r="CO29" s="68">
        <v>4986.1</v>
      </c>
      <c r="CP29" s="68">
        <v>8023.44</v>
      </c>
      <c r="CQ29" s="68">
        <v>3044</v>
      </c>
      <c r="CR29" s="68">
        <v>6314</v>
      </c>
      <c r="CS29" s="68">
        <v>3519.89</v>
      </c>
      <c r="CT29" s="68">
        <v>5173.5</v>
      </c>
      <c r="CU29" s="68">
        <v>2932</v>
      </c>
      <c r="CV29" s="68">
        <v>9708.66</v>
      </c>
      <c r="CW29" s="68">
        <v>4802.7</v>
      </c>
      <c r="CX29" s="68">
        <v>7064.1</v>
      </c>
      <c r="CY29" s="68">
        <v>5410.02</v>
      </c>
      <c r="CZ29" s="68">
        <v>3688.6</v>
      </c>
      <c r="DA29" s="68">
        <v>5593.3</v>
      </c>
      <c r="DB29" s="68">
        <v>3325.5</v>
      </c>
      <c r="DC29" s="68">
        <v>5869.61</v>
      </c>
      <c r="DD29" s="68">
        <v>6702.66</v>
      </c>
      <c r="DE29" s="68">
        <v>1905</v>
      </c>
      <c r="DF29" s="68">
        <v>4926</v>
      </c>
      <c r="DG29" s="68">
        <v>5000</v>
      </c>
      <c r="DH29" s="68">
        <v>5429.39</v>
      </c>
      <c r="DI29" s="68">
        <v>5077.56</v>
      </c>
      <c r="DJ29" s="68">
        <v>2582.7</v>
      </c>
      <c r="DK29" s="68">
        <v>5000</v>
      </c>
      <c r="DL29" s="68">
        <v>5176.58</v>
      </c>
      <c r="DM29" s="68">
        <v>3350.23</v>
      </c>
      <c r="DN29" s="68">
        <v>0</v>
      </c>
      <c r="DO29" s="68">
        <v>7982.3</v>
      </c>
      <c r="DP29" s="68">
        <v>0</v>
      </c>
      <c r="DQ29" s="68">
        <v>4853.6</v>
      </c>
      <c r="DR29" s="68">
        <v>239</v>
      </c>
      <c r="DS29" s="68">
        <v>5132</v>
      </c>
      <c r="DT29" s="68">
        <v>0</v>
      </c>
      <c r="DU29" s="68">
        <v>0</v>
      </c>
      <c r="DV29" s="68"/>
      <c r="DW29" s="68"/>
      <c r="DX29" s="68"/>
      <c r="DY29" s="68"/>
      <c r="DZ29" s="68"/>
      <c r="EA29" s="63">
        <v>-281879.97</v>
      </c>
      <c r="EB29" s="63">
        <f t="shared" si="0"/>
        <v>41609.97</v>
      </c>
      <c r="EC29" s="63">
        <f t="shared" si="3"/>
        <v>492457.02</v>
      </c>
      <c r="ED29" s="63">
        <f t="shared" si="1"/>
        <v>349971.75</v>
      </c>
      <c r="EE29" s="63">
        <f t="shared" si="2"/>
        <v>-9810.79</v>
      </c>
      <c r="EF29" s="63">
        <f t="shared" si="4"/>
        <v>201120.29</v>
      </c>
      <c r="EG29" s="63">
        <f t="shared" si="5"/>
        <v>-205893.71</v>
      </c>
    </row>
    <row r="30" spans="1:137">
      <c r="A30" s="57" t="s">
        <v>120</v>
      </c>
      <c r="B30" s="68">
        <v>3652475.26</v>
      </c>
      <c r="C30" s="68">
        <v>-181636.82</v>
      </c>
      <c r="D30" s="68">
        <v>0</v>
      </c>
      <c r="E30" s="68">
        <v>1671</v>
      </c>
      <c r="F30" s="68">
        <v>929878.54</v>
      </c>
      <c r="G30" s="68">
        <v>7041</v>
      </c>
      <c r="H30" s="68">
        <v>7050</v>
      </c>
      <c r="I30" s="68">
        <v>1370</v>
      </c>
      <c r="J30" s="68">
        <v>0</v>
      </c>
      <c r="K30" s="68">
        <v>11791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3000</v>
      </c>
      <c r="S30" s="68">
        <v>0</v>
      </c>
      <c r="T30" s="68">
        <v>0</v>
      </c>
      <c r="U30" s="68">
        <v>0</v>
      </c>
      <c r="V30" s="68">
        <v>0</v>
      </c>
      <c r="W30" s="68">
        <v>189405.79</v>
      </c>
      <c r="X30" s="68">
        <v>28876.68</v>
      </c>
      <c r="Y30" s="68">
        <v>77707.3</v>
      </c>
      <c r="Z30" s="68">
        <v>22532.89</v>
      </c>
      <c r="AA30" s="68">
        <v>86780.32</v>
      </c>
      <c r="AB30" s="68">
        <v>24280.2</v>
      </c>
      <c r="AC30" s="68">
        <v>0</v>
      </c>
      <c r="AD30" s="68">
        <v>0</v>
      </c>
      <c r="AE30" s="68">
        <v>2442727.36</v>
      </c>
      <c r="AF30" s="68">
        <v>156086.89</v>
      </c>
      <c r="AG30" s="68">
        <v>10145.3</v>
      </c>
      <c r="AH30" s="68">
        <v>13028.3</v>
      </c>
      <c r="AI30" s="68">
        <v>0</v>
      </c>
      <c r="AJ30" s="68">
        <v>0</v>
      </c>
      <c r="AK30" s="68">
        <v>0</v>
      </c>
      <c r="AL30" s="68">
        <v>10145.3</v>
      </c>
      <c r="AM30" s="68">
        <v>23165.68</v>
      </c>
      <c r="AN30" s="68">
        <v>1857</v>
      </c>
      <c r="AO30" s="68">
        <v>3854</v>
      </c>
      <c r="AP30" s="68">
        <v>0</v>
      </c>
      <c r="AQ30" s="68">
        <v>0</v>
      </c>
      <c r="AR30" s="68">
        <v>0</v>
      </c>
      <c r="AS30" s="68">
        <v>0</v>
      </c>
      <c r="AT30" s="68">
        <v>0</v>
      </c>
      <c r="AU30" s="68">
        <v>0</v>
      </c>
      <c r="AV30" s="68">
        <v>32369</v>
      </c>
      <c r="AW30" s="68">
        <v>35193</v>
      </c>
      <c r="AX30" s="68">
        <v>10145.3</v>
      </c>
      <c r="AY30" s="68">
        <v>86780.32</v>
      </c>
      <c r="AZ30" s="68">
        <v>0</v>
      </c>
      <c r="BA30" s="68">
        <v>2000</v>
      </c>
      <c r="BB30" s="68">
        <v>0</v>
      </c>
      <c r="BC30" s="68">
        <v>0</v>
      </c>
      <c r="BD30" s="68">
        <v>0</v>
      </c>
      <c r="BE30" s="68">
        <v>0</v>
      </c>
      <c r="BF30" s="68">
        <v>2440727.36</v>
      </c>
      <c r="BG30" s="68">
        <v>56377.84</v>
      </c>
      <c r="BH30" s="68">
        <v>50000.5</v>
      </c>
      <c r="BI30" s="68">
        <v>49435.33</v>
      </c>
      <c r="BJ30" s="68">
        <v>49095.52</v>
      </c>
      <c r="BK30" s="68">
        <v>45000</v>
      </c>
      <c r="BL30" s="68">
        <v>49988.64</v>
      </c>
      <c r="BM30" s="68">
        <v>44987.66</v>
      </c>
      <c r="BN30" s="68">
        <v>49125.21</v>
      </c>
      <c r="BO30" s="68">
        <v>42950.94</v>
      </c>
      <c r="BP30" s="68">
        <v>53625.1</v>
      </c>
      <c r="BQ30" s="68">
        <v>49364.5</v>
      </c>
      <c r="BR30" s="68">
        <v>19600</v>
      </c>
      <c r="BS30" s="68">
        <v>55000.11</v>
      </c>
      <c r="BT30" s="68">
        <v>49913.38</v>
      </c>
      <c r="BU30" s="68">
        <v>26320.1</v>
      </c>
      <c r="BV30" s="68">
        <v>43448.96</v>
      </c>
      <c r="BW30" s="68">
        <v>43356.78</v>
      </c>
      <c r="BX30" s="68">
        <v>45000.12</v>
      </c>
      <c r="BY30" s="68">
        <v>29666.97</v>
      </c>
      <c r="BZ30" s="68">
        <v>42613.95</v>
      </c>
      <c r="CA30" s="68">
        <v>45044.67</v>
      </c>
      <c r="CB30" s="68">
        <v>45000</v>
      </c>
      <c r="CC30" s="68">
        <v>34167</v>
      </c>
      <c r="CD30" s="68">
        <v>30000</v>
      </c>
      <c r="CE30" s="68">
        <v>35000</v>
      </c>
      <c r="CF30" s="68">
        <v>35000</v>
      </c>
      <c r="CG30" s="68">
        <v>30000</v>
      </c>
      <c r="CH30" s="68">
        <v>42988.46</v>
      </c>
      <c r="CI30" s="68">
        <v>14414.3</v>
      </c>
      <c r="CJ30" s="68">
        <v>49999.6</v>
      </c>
      <c r="CK30" s="68">
        <v>30000</v>
      </c>
      <c r="CL30" s="68">
        <v>30833</v>
      </c>
      <c r="CM30" s="68">
        <v>30000</v>
      </c>
      <c r="CN30" s="68">
        <v>30000</v>
      </c>
      <c r="CO30" s="68">
        <v>35000</v>
      </c>
      <c r="CP30" s="68">
        <v>41259.24</v>
      </c>
      <c r="CQ30" s="68">
        <v>1260</v>
      </c>
      <c r="CR30" s="68">
        <v>34999.92</v>
      </c>
      <c r="CS30" s="68">
        <v>34999.53</v>
      </c>
      <c r="CT30" s="68">
        <v>29999.7</v>
      </c>
      <c r="CU30" s="68">
        <v>34061.4</v>
      </c>
      <c r="CV30" s="68">
        <v>34999.98</v>
      </c>
      <c r="CW30" s="68">
        <v>26207.78</v>
      </c>
      <c r="CX30" s="68">
        <v>35000</v>
      </c>
      <c r="CY30" s="68">
        <v>11266.59</v>
      </c>
      <c r="CZ30" s="68">
        <v>34999.73</v>
      </c>
      <c r="DA30" s="68">
        <v>34999.83</v>
      </c>
      <c r="DB30" s="68">
        <v>34999.88</v>
      </c>
      <c r="DC30" s="68">
        <v>34999.51</v>
      </c>
      <c r="DD30" s="68">
        <v>35000.48</v>
      </c>
      <c r="DE30" s="68">
        <v>35000.39</v>
      </c>
      <c r="DF30" s="68">
        <v>34999.82</v>
      </c>
      <c r="DG30" s="68">
        <v>34999.75</v>
      </c>
      <c r="DH30" s="68">
        <v>34999.61</v>
      </c>
      <c r="DI30" s="68">
        <v>35000.15</v>
      </c>
      <c r="DJ30" s="68">
        <v>34524.71</v>
      </c>
      <c r="DK30" s="68">
        <v>35000.43</v>
      </c>
      <c r="DL30" s="68">
        <v>34999.96</v>
      </c>
      <c r="DM30" s="68">
        <v>35000.46</v>
      </c>
      <c r="DN30" s="68">
        <v>14830</v>
      </c>
      <c r="DO30" s="68">
        <v>54999.95</v>
      </c>
      <c r="DP30" s="68">
        <v>45000</v>
      </c>
      <c r="DQ30" s="68">
        <v>44999.77</v>
      </c>
      <c r="DR30" s="68">
        <v>30000.15</v>
      </c>
      <c r="DS30" s="68">
        <v>35000</v>
      </c>
      <c r="DT30" s="68">
        <v>30000</v>
      </c>
      <c r="DU30" s="68">
        <v>0</v>
      </c>
      <c r="DV30" s="68"/>
      <c r="DW30" s="68"/>
      <c r="DX30" s="68"/>
      <c r="DY30" s="68"/>
      <c r="DZ30" s="68"/>
      <c r="EA30" s="63">
        <v>-2442727.36</v>
      </c>
      <c r="EB30" s="63">
        <f t="shared" si="0"/>
        <v>2000</v>
      </c>
      <c r="EC30" s="63">
        <f t="shared" si="3"/>
        <v>4851454.72</v>
      </c>
      <c r="ED30" s="63">
        <f t="shared" si="1"/>
        <v>2621987.85</v>
      </c>
      <c r="EE30" s="63">
        <f t="shared" si="2"/>
        <v>74392.73</v>
      </c>
      <c r="EF30" s="63">
        <f t="shared" si="4"/>
        <v>-150383.81</v>
      </c>
      <c r="EG30" s="63">
        <f t="shared" si="5"/>
        <v>38685.32</v>
      </c>
    </row>
    <row r="31" spans="1:137">
      <c r="A31" s="57" t="s">
        <v>121</v>
      </c>
      <c r="B31" s="68">
        <v>7043137.27</v>
      </c>
      <c r="C31" s="68">
        <v>0</v>
      </c>
      <c r="D31" s="68">
        <v>0</v>
      </c>
      <c r="E31" s="68">
        <v>0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103342.66</v>
      </c>
      <c r="AA31" s="68">
        <v>0</v>
      </c>
      <c r="AB31" s="68">
        <v>0</v>
      </c>
      <c r="AC31" s="68">
        <v>0</v>
      </c>
      <c r="AD31" s="68">
        <v>0</v>
      </c>
      <c r="AE31" s="68">
        <v>6939794.61</v>
      </c>
      <c r="AF31" s="68">
        <v>0</v>
      </c>
      <c r="AG31" s="68">
        <v>0</v>
      </c>
      <c r="AH31" s="68">
        <v>0</v>
      </c>
      <c r="AI31" s="68">
        <v>0</v>
      </c>
      <c r="AJ31" s="68">
        <v>0</v>
      </c>
      <c r="AK31" s="68">
        <v>0</v>
      </c>
      <c r="AL31" s="68">
        <v>0</v>
      </c>
      <c r="AM31" s="68">
        <v>0</v>
      </c>
      <c r="AN31" s="68">
        <v>0</v>
      </c>
      <c r="AO31" s="68">
        <v>0</v>
      </c>
      <c r="AP31" s="68">
        <v>0</v>
      </c>
      <c r="AQ31" s="68">
        <v>0</v>
      </c>
      <c r="AR31" s="68">
        <v>0</v>
      </c>
      <c r="AS31" s="68">
        <v>0</v>
      </c>
      <c r="AT31" s="68">
        <v>0</v>
      </c>
      <c r="AU31" s="68">
        <v>0</v>
      </c>
      <c r="AV31" s="68">
        <v>0</v>
      </c>
      <c r="AW31" s="68">
        <v>0</v>
      </c>
      <c r="AX31" s="68">
        <v>0</v>
      </c>
      <c r="AY31" s="68">
        <v>0</v>
      </c>
      <c r="AZ31" s="68">
        <v>0</v>
      </c>
      <c r="BA31" s="68">
        <v>16004.72</v>
      </c>
      <c r="BB31" s="68">
        <v>989744.84</v>
      </c>
      <c r="BC31" s="68">
        <v>928292.95</v>
      </c>
      <c r="BD31" s="68">
        <v>301431.27</v>
      </c>
      <c r="BE31" s="68">
        <v>0</v>
      </c>
      <c r="BF31" s="68">
        <v>4704320.83</v>
      </c>
      <c r="BG31" s="68">
        <v>119385.26</v>
      </c>
      <c r="BH31" s="68">
        <v>301652.24</v>
      </c>
      <c r="BI31" s="68">
        <v>138451.89</v>
      </c>
      <c r="BJ31" s="68">
        <v>167105.08</v>
      </c>
      <c r="BK31" s="68">
        <v>84582.07</v>
      </c>
      <c r="BL31" s="68">
        <v>129223.78</v>
      </c>
      <c r="BM31" s="68">
        <v>75898.36</v>
      </c>
      <c r="BN31" s="68">
        <v>79586.37</v>
      </c>
      <c r="BO31" s="68">
        <v>79422.6</v>
      </c>
      <c r="BP31" s="68">
        <v>69318.32</v>
      </c>
      <c r="BQ31" s="68">
        <v>193497.01</v>
      </c>
      <c r="BR31" s="68">
        <v>76719.24</v>
      </c>
      <c r="BS31" s="68">
        <v>376209.46</v>
      </c>
      <c r="BT31" s="68">
        <v>44926.5</v>
      </c>
      <c r="BU31" s="68">
        <v>22866.48</v>
      </c>
      <c r="BV31" s="68">
        <v>21461.25</v>
      </c>
      <c r="BW31" s="68">
        <v>12157.39</v>
      </c>
      <c r="BX31" s="68">
        <v>78374.1</v>
      </c>
      <c r="BY31" s="68">
        <v>78085.3</v>
      </c>
      <c r="BZ31" s="68">
        <v>80452.26</v>
      </c>
      <c r="CA31" s="68">
        <v>48359.5</v>
      </c>
      <c r="CB31" s="68">
        <v>39728.25</v>
      </c>
      <c r="CC31" s="68">
        <v>125451.1</v>
      </c>
      <c r="CD31" s="68">
        <v>46050.9</v>
      </c>
      <c r="CE31" s="68">
        <v>22392</v>
      </c>
      <c r="CF31" s="68">
        <v>48110.05</v>
      </c>
      <c r="CG31" s="68">
        <v>52000.25</v>
      </c>
      <c r="CH31" s="68">
        <v>57413.25</v>
      </c>
      <c r="CI31" s="68">
        <v>77800</v>
      </c>
      <c r="CJ31" s="68">
        <v>260235.31</v>
      </c>
      <c r="CK31" s="68">
        <v>32445.05</v>
      </c>
      <c r="CL31" s="68">
        <v>44329.85</v>
      </c>
      <c r="CM31" s="68">
        <v>5300.25</v>
      </c>
      <c r="CN31" s="68">
        <v>30554.1</v>
      </c>
      <c r="CO31" s="68">
        <v>40210.25</v>
      </c>
      <c r="CP31" s="68">
        <v>41907</v>
      </c>
      <c r="CQ31" s="68">
        <v>104118.25</v>
      </c>
      <c r="CR31" s="68">
        <v>41500.04</v>
      </c>
      <c r="CS31" s="68">
        <v>27657.95</v>
      </c>
      <c r="CT31" s="68">
        <v>16855.2</v>
      </c>
      <c r="CU31" s="68">
        <v>22929</v>
      </c>
      <c r="CV31" s="68">
        <v>8144.5</v>
      </c>
      <c r="CW31" s="68">
        <v>7898.8</v>
      </c>
      <c r="CX31" s="68">
        <v>67399.77</v>
      </c>
      <c r="CY31" s="68">
        <v>82453.25</v>
      </c>
      <c r="CZ31" s="68">
        <v>93800</v>
      </c>
      <c r="DA31" s="68">
        <v>39818.26</v>
      </c>
      <c r="DB31" s="68">
        <v>62142.15</v>
      </c>
      <c r="DC31" s="68">
        <v>64699.97</v>
      </c>
      <c r="DD31" s="68">
        <v>14706.78</v>
      </c>
      <c r="DE31" s="68">
        <v>45197</v>
      </c>
      <c r="DF31" s="68">
        <v>66295</v>
      </c>
      <c r="DG31" s="68">
        <v>35943</v>
      </c>
      <c r="DH31" s="68">
        <v>26549.75</v>
      </c>
      <c r="DI31" s="68">
        <v>5800</v>
      </c>
      <c r="DJ31" s="68">
        <v>17243.73</v>
      </c>
      <c r="DK31" s="68">
        <v>20578.5</v>
      </c>
      <c r="DL31" s="68">
        <v>1482.5</v>
      </c>
      <c r="DM31" s="68">
        <v>29697.25</v>
      </c>
      <c r="DN31" s="68">
        <v>133337.35</v>
      </c>
      <c r="DO31" s="68">
        <v>133395.62</v>
      </c>
      <c r="DP31" s="68">
        <v>43833</v>
      </c>
      <c r="DQ31" s="68">
        <v>32516</v>
      </c>
      <c r="DR31" s="68">
        <v>26944</v>
      </c>
      <c r="DS31" s="68">
        <v>128589.7</v>
      </c>
      <c r="DT31" s="68">
        <v>101132.44</v>
      </c>
      <c r="DU31" s="68">
        <v>0</v>
      </c>
      <c r="DV31" s="68"/>
      <c r="DW31" s="68"/>
      <c r="DX31" s="68"/>
      <c r="DY31" s="68"/>
      <c r="DZ31" s="68"/>
      <c r="EA31" s="63">
        <v>-6939794.61</v>
      </c>
      <c r="EB31" s="63">
        <f t="shared" si="0"/>
        <v>2235473.78</v>
      </c>
      <c r="EC31" s="63">
        <f t="shared" si="3"/>
        <v>9307509.22</v>
      </c>
      <c r="ED31" s="63">
        <f t="shared" si="1"/>
        <v>6939794.61</v>
      </c>
      <c r="EE31" s="63">
        <f t="shared" si="2"/>
        <v>-103342.66</v>
      </c>
      <c r="EF31" s="63">
        <f t="shared" si="4"/>
        <v>0</v>
      </c>
      <c r="EG31" s="63">
        <f t="shared" si="5"/>
        <v>0</v>
      </c>
    </row>
    <row r="32" spans="1:137">
      <c r="A32" s="57" t="s">
        <v>122</v>
      </c>
      <c r="B32" s="68">
        <v>126112.92</v>
      </c>
      <c r="C32" s="68">
        <v>0</v>
      </c>
      <c r="D32" s="68">
        <v>0</v>
      </c>
      <c r="E32" s="68">
        <v>0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400</v>
      </c>
      <c r="X32" s="68">
        <v>0</v>
      </c>
      <c r="Y32" s="68">
        <v>0</v>
      </c>
      <c r="Z32" s="68">
        <v>0</v>
      </c>
      <c r="AA32" s="68">
        <v>0</v>
      </c>
      <c r="AB32" s="68">
        <v>6876</v>
      </c>
      <c r="AC32" s="68">
        <v>0</v>
      </c>
      <c r="AD32" s="68">
        <v>65655.72</v>
      </c>
      <c r="AE32" s="68">
        <v>53181.2</v>
      </c>
      <c r="AF32" s="68">
        <v>400</v>
      </c>
      <c r="AG32" s="68">
        <v>0</v>
      </c>
      <c r="AH32" s="68">
        <v>0</v>
      </c>
      <c r="AI32" s="68">
        <v>0</v>
      </c>
      <c r="AJ32" s="68">
        <v>0</v>
      </c>
      <c r="AK32" s="68">
        <v>0</v>
      </c>
      <c r="AL32" s="68">
        <v>0</v>
      </c>
      <c r="AM32" s="68">
        <v>0</v>
      </c>
      <c r="AN32" s="68">
        <v>0</v>
      </c>
      <c r="AO32" s="68">
        <v>0</v>
      </c>
      <c r="AP32" s="68">
        <v>0</v>
      </c>
      <c r="AQ32" s="68">
        <v>0</v>
      </c>
      <c r="AR32" s="68">
        <v>0</v>
      </c>
      <c r="AS32" s="68">
        <v>0</v>
      </c>
      <c r="AT32" s="68">
        <v>0</v>
      </c>
      <c r="AU32" s="68">
        <v>0</v>
      </c>
      <c r="AV32" s="68">
        <v>0</v>
      </c>
      <c r="AW32" s="68">
        <v>0</v>
      </c>
      <c r="AX32" s="68">
        <v>0</v>
      </c>
      <c r="AY32" s="68">
        <v>0</v>
      </c>
      <c r="AZ32" s="68">
        <v>0</v>
      </c>
      <c r="BA32" s="68">
        <v>0</v>
      </c>
      <c r="BB32" s="68">
        <v>0</v>
      </c>
      <c r="BC32" s="68">
        <v>0</v>
      </c>
      <c r="BD32" s="68">
        <v>0</v>
      </c>
      <c r="BE32" s="68">
        <v>0</v>
      </c>
      <c r="BF32" s="68">
        <v>53181.2</v>
      </c>
      <c r="BG32" s="68">
        <v>0</v>
      </c>
      <c r="BH32" s="68">
        <v>0</v>
      </c>
      <c r="BI32" s="68">
        <v>0</v>
      </c>
      <c r="BJ32" s="68">
        <v>0</v>
      </c>
      <c r="BK32" s="68">
        <v>0</v>
      </c>
      <c r="BL32" s="68">
        <v>12000</v>
      </c>
      <c r="BM32" s="68">
        <v>0</v>
      </c>
      <c r="BN32" s="68">
        <v>0</v>
      </c>
      <c r="BO32" s="68">
        <v>0</v>
      </c>
      <c r="BP32" s="68">
        <v>0</v>
      </c>
      <c r="BQ32" s="68">
        <v>8000</v>
      </c>
      <c r="BR32" s="68">
        <v>0</v>
      </c>
      <c r="BS32" s="68">
        <v>18120</v>
      </c>
      <c r="BT32" s="68">
        <v>4448</v>
      </c>
      <c r="BU32" s="68">
        <v>0</v>
      </c>
      <c r="BV32" s="68">
        <v>0</v>
      </c>
      <c r="BW32" s="68">
        <v>0</v>
      </c>
      <c r="BX32" s="68">
        <v>0</v>
      </c>
      <c r="BY32" s="68">
        <v>0</v>
      </c>
      <c r="BZ32" s="68">
        <v>0</v>
      </c>
      <c r="CA32" s="68">
        <v>0</v>
      </c>
      <c r="CB32" s="68">
        <v>0</v>
      </c>
      <c r="CC32" s="68">
        <v>5347.2</v>
      </c>
      <c r="CD32" s="68">
        <v>0</v>
      </c>
      <c r="CE32" s="68">
        <v>0</v>
      </c>
      <c r="CF32" s="68">
        <v>0</v>
      </c>
      <c r="CG32" s="68">
        <v>0</v>
      </c>
      <c r="CH32" s="68">
        <v>0</v>
      </c>
      <c r="CI32" s="68">
        <v>0</v>
      </c>
      <c r="CJ32" s="68">
        <v>0</v>
      </c>
      <c r="CK32" s="68">
        <v>0</v>
      </c>
      <c r="CL32" s="68">
        <v>0</v>
      </c>
      <c r="CM32" s="68">
        <v>0</v>
      </c>
      <c r="CN32" s="68">
        <v>0</v>
      </c>
      <c r="CO32" s="68">
        <v>5266</v>
      </c>
      <c r="CP32" s="68">
        <v>0</v>
      </c>
      <c r="CQ32" s="68">
        <v>0</v>
      </c>
      <c r="CR32" s="68">
        <v>0</v>
      </c>
      <c r="CS32" s="68">
        <v>0</v>
      </c>
      <c r="CT32" s="68">
        <v>0</v>
      </c>
      <c r="CU32" s="68">
        <v>0</v>
      </c>
      <c r="CV32" s="68">
        <v>0</v>
      </c>
      <c r="CW32" s="68">
        <v>0</v>
      </c>
      <c r="CX32" s="68">
        <v>0</v>
      </c>
      <c r="CY32" s="68">
        <v>0</v>
      </c>
      <c r="CZ32" s="68">
        <v>0</v>
      </c>
      <c r="DA32" s="68">
        <v>0</v>
      </c>
      <c r="DB32" s="68">
        <v>0</v>
      </c>
      <c r="DC32" s="68">
        <v>0</v>
      </c>
      <c r="DD32" s="68">
        <v>0</v>
      </c>
      <c r="DE32" s="68">
        <v>0</v>
      </c>
      <c r="DF32" s="68">
        <v>0</v>
      </c>
      <c r="DG32" s="68">
        <v>0</v>
      </c>
      <c r="DH32" s="68">
        <v>0</v>
      </c>
      <c r="DI32" s="68">
        <v>0</v>
      </c>
      <c r="DJ32" s="68">
        <v>0</v>
      </c>
      <c r="DK32" s="68">
        <v>0</v>
      </c>
      <c r="DL32" s="68">
        <v>0</v>
      </c>
      <c r="DM32" s="68">
        <v>0</v>
      </c>
      <c r="DN32" s="68">
        <v>0</v>
      </c>
      <c r="DO32" s="68">
        <v>0</v>
      </c>
      <c r="DP32" s="68">
        <v>0</v>
      </c>
      <c r="DQ32" s="68">
        <v>0</v>
      </c>
      <c r="DR32" s="68">
        <v>0</v>
      </c>
      <c r="DS32" s="68">
        <v>0</v>
      </c>
      <c r="DT32" s="68">
        <v>0</v>
      </c>
      <c r="DU32" s="68">
        <v>0</v>
      </c>
      <c r="DV32" s="68"/>
      <c r="DW32" s="68"/>
      <c r="DX32" s="68"/>
      <c r="DY32" s="68"/>
      <c r="DZ32" s="68"/>
      <c r="EA32" s="63">
        <v>-53181.2</v>
      </c>
      <c r="EB32" s="63">
        <f t="shared" si="0"/>
        <v>-65655.72</v>
      </c>
      <c r="EC32" s="63">
        <f t="shared" si="3"/>
        <v>106362.4</v>
      </c>
      <c r="ED32" s="63">
        <f t="shared" si="1"/>
        <v>53581.2</v>
      </c>
      <c r="EE32" s="63">
        <f t="shared" si="2"/>
        <v>0</v>
      </c>
      <c r="EF32" s="63">
        <f t="shared" si="4"/>
        <v>-400</v>
      </c>
      <c r="EG32" s="63">
        <f t="shared" si="5"/>
        <v>0</v>
      </c>
    </row>
    <row r="33" s="242" customFormat="1" spans="1:137">
      <c r="A33" s="246" t="s">
        <v>102</v>
      </c>
      <c r="B33" s="68">
        <v>80727218.97</v>
      </c>
      <c r="C33" s="68">
        <v>695912.86</v>
      </c>
      <c r="D33" s="68">
        <v>1457301.3</v>
      </c>
      <c r="E33" s="68">
        <v>2441898.82</v>
      </c>
      <c r="F33" s="68">
        <v>5189500.53</v>
      </c>
      <c r="G33" s="68">
        <v>251262.92</v>
      </c>
      <c r="H33" s="68">
        <v>404109.53</v>
      </c>
      <c r="I33" s="68">
        <v>253654.51</v>
      </c>
      <c r="J33" s="68">
        <v>0</v>
      </c>
      <c r="K33" s="68">
        <v>117918.84</v>
      </c>
      <c r="L33" s="68">
        <v>240475.51</v>
      </c>
      <c r="M33" s="68">
        <v>935737.16</v>
      </c>
      <c r="N33" s="68">
        <v>618576.27</v>
      </c>
      <c r="O33" s="68">
        <v>576519.35</v>
      </c>
      <c r="P33" s="68">
        <v>95532.48</v>
      </c>
      <c r="Q33" s="68">
        <v>312279.86</v>
      </c>
      <c r="R33" s="68">
        <v>115425.45</v>
      </c>
      <c r="S33" s="68">
        <v>14255.07</v>
      </c>
      <c r="T33" s="68">
        <v>0</v>
      </c>
      <c r="U33" s="68">
        <v>2813</v>
      </c>
      <c r="V33" s="68">
        <v>0</v>
      </c>
      <c r="W33" s="68">
        <v>3350620</v>
      </c>
      <c r="X33" s="68">
        <v>21343958.46</v>
      </c>
      <c r="Y33" s="68">
        <v>4168410.49</v>
      </c>
      <c r="Z33" s="68">
        <v>3505295.03</v>
      </c>
      <c r="AA33" s="68">
        <v>678182.5</v>
      </c>
      <c r="AB33" s="68">
        <v>678513</v>
      </c>
      <c r="AC33" s="68">
        <v>0</v>
      </c>
      <c r="AD33" s="68">
        <v>480166.06</v>
      </c>
      <c r="AE33" s="68">
        <v>32798899.97</v>
      </c>
      <c r="AF33" s="68">
        <v>576044.7</v>
      </c>
      <c r="AG33" s="68">
        <v>450499.39</v>
      </c>
      <c r="AH33" s="68">
        <v>482959.12</v>
      </c>
      <c r="AI33" s="68">
        <v>519624.12</v>
      </c>
      <c r="AJ33" s="68">
        <v>439454.79</v>
      </c>
      <c r="AK33" s="68">
        <v>460692.45</v>
      </c>
      <c r="AL33" s="68">
        <v>421345.43</v>
      </c>
      <c r="AM33" s="68">
        <v>1170792.69</v>
      </c>
      <c r="AN33" s="68">
        <v>12174726.84</v>
      </c>
      <c r="AO33" s="68">
        <v>3614485.17</v>
      </c>
      <c r="AP33" s="68">
        <v>2109352.16</v>
      </c>
      <c r="AQ33" s="68">
        <v>730174.76</v>
      </c>
      <c r="AR33" s="68">
        <v>1391766.87</v>
      </c>
      <c r="AS33" s="68">
        <v>152659.97</v>
      </c>
      <c r="AT33" s="68">
        <v>0</v>
      </c>
      <c r="AU33" s="68">
        <v>1706333.22</v>
      </c>
      <c r="AV33" s="68">
        <v>1109283.15</v>
      </c>
      <c r="AW33" s="68">
        <v>1077076.52</v>
      </c>
      <c r="AX33" s="68">
        <v>275717.6</v>
      </c>
      <c r="AY33" s="68">
        <v>575351.44</v>
      </c>
      <c r="AZ33" s="68">
        <v>102831.06</v>
      </c>
      <c r="BA33" s="68">
        <v>728387.78</v>
      </c>
      <c r="BB33" s="68">
        <v>1930125.88</v>
      </c>
      <c r="BC33" s="68">
        <v>1328575.24</v>
      </c>
      <c r="BD33" s="68">
        <v>694071.47</v>
      </c>
      <c r="BE33" s="68">
        <v>0</v>
      </c>
      <c r="BF33" s="68">
        <v>28117739.6</v>
      </c>
      <c r="BG33" s="68">
        <v>937312.94</v>
      </c>
      <c r="BH33" s="68">
        <v>1235462.43</v>
      </c>
      <c r="BI33" s="68">
        <v>971680.2</v>
      </c>
      <c r="BJ33" s="68">
        <v>1171129.59</v>
      </c>
      <c r="BK33" s="68">
        <v>928548.36</v>
      </c>
      <c r="BL33" s="68">
        <v>852900.4</v>
      </c>
      <c r="BM33" s="68">
        <v>403266.75</v>
      </c>
      <c r="BN33" s="68">
        <v>892801.27</v>
      </c>
      <c r="BO33" s="68">
        <v>524420.98</v>
      </c>
      <c r="BP33" s="68">
        <v>502217.04</v>
      </c>
      <c r="BQ33" s="68">
        <v>1139343.83</v>
      </c>
      <c r="BR33" s="68">
        <v>477217.47</v>
      </c>
      <c r="BS33" s="68">
        <v>1099372.1</v>
      </c>
      <c r="BT33" s="68">
        <v>714550.53</v>
      </c>
      <c r="BU33" s="68">
        <v>313267.63</v>
      </c>
      <c r="BV33" s="68">
        <v>451718.75</v>
      </c>
      <c r="BW33" s="68">
        <v>359322.27</v>
      </c>
      <c r="BX33" s="68">
        <v>557813.02</v>
      </c>
      <c r="BY33" s="68">
        <v>382776.95</v>
      </c>
      <c r="BZ33" s="68">
        <v>350452.23</v>
      </c>
      <c r="CA33" s="68">
        <v>338351.88</v>
      </c>
      <c r="CB33" s="68">
        <v>476429.97</v>
      </c>
      <c r="CC33" s="68">
        <v>435495.32</v>
      </c>
      <c r="CD33" s="68">
        <v>290399.72</v>
      </c>
      <c r="CE33" s="68">
        <v>330762.1</v>
      </c>
      <c r="CF33" s="68">
        <v>225521.81</v>
      </c>
      <c r="CG33" s="68">
        <v>257550.06</v>
      </c>
      <c r="CH33" s="68">
        <v>381673.92</v>
      </c>
      <c r="CI33" s="68">
        <v>377513.22</v>
      </c>
      <c r="CJ33" s="68">
        <v>734484.66</v>
      </c>
      <c r="CK33" s="68">
        <v>221921.4</v>
      </c>
      <c r="CL33" s="68">
        <v>262813.9</v>
      </c>
      <c r="CM33" s="68">
        <v>187742.83</v>
      </c>
      <c r="CN33" s="68">
        <v>259717.46</v>
      </c>
      <c r="CO33" s="68">
        <v>246830.09</v>
      </c>
      <c r="CP33" s="68">
        <v>310469.94</v>
      </c>
      <c r="CQ33" s="68">
        <v>455004.43</v>
      </c>
      <c r="CR33" s="68">
        <v>206007.93</v>
      </c>
      <c r="CS33" s="68">
        <v>207909.21</v>
      </c>
      <c r="CT33" s="68">
        <v>228231.35</v>
      </c>
      <c r="CU33" s="68">
        <v>221996.71</v>
      </c>
      <c r="CV33" s="68">
        <v>195027.32</v>
      </c>
      <c r="CW33" s="68">
        <v>142698.91</v>
      </c>
      <c r="CX33" s="68">
        <v>293451.62</v>
      </c>
      <c r="CY33" s="68">
        <v>394445.48</v>
      </c>
      <c r="CZ33" s="68">
        <v>336037.73</v>
      </c>
      <c r="DA33" s="68">
        <v>299414.04</v>
      </c>
      <c r="DB33" s="68">
        <v>283748.86</v>
      </c>
      <c r="DC33" s="68">
        <v>309452.87</v>
      </c>
      <c r="DD33" s="68">
        <v>285499.81</v>
      </c>
      <c r="DE33" s="68">
        <v>263295.47</v>
      </c>
      <c r="DF33" s="68">
        <v>301857.35</v>
      </c>
      <c r="DG33" s="68">
        <v>254890.76</v>
      </c>
      <c r="DH33" s="68">
        <v>199316.02</v>
      </c>
      <c r="DI33" s="68">
        <v>168583.01</v>
      </c>
      <c r="DJ33" s="68">
        <v>138719.03</v>
      </c>
      <c r="DK33" s="68">
        <v>325977.31</v>
      </c>
      <c r="DL33" s="68">
        <v>242194.8</v>
      </c>
      <c r="DM33" s="68">
        <v>219556.44</v>
      </c>
      <c r="DN33" s="68">
        <v>331568.57</v>
      </c>
      <c r="DO33" s="68">
        <v>697319.68</v>
      </c>
      <c r="DP33" s="68">
        <v>256825.08</v>
      </c>
      <c r="DQ33" s="68">
        <v>351087.55</v>
      </c>
      <c r="DR33" s="68">
        <v>212668.72</v>
      </c>
      <c r="DS33" s="68">
        <v>448568.46</v>
      </c>
      <c r="DT33" s="68">
        <v>243132.06</v>
      </c>
      <c r="DU33" s="68">
        <v>0</v>
      </c>
      <c r="DV33" s="251"/>
      <c r="DW33" s="251"/>
      <c r="DX33" s="251"/>
      <c r="DY33" s="251"/>
      <c r="DZ33" s="251"/>
      <c r="EA33" s="242">
        <v>-32798899.97</v>
      </c>
      <c r="EB33" s="242">
        <f t="shared" si="0"/>
        <v>4303825.37</v>
      </c>
      <c r="EC33" s="242">
        <f t="shared" si="3"/>
        <v>55992347.14</v>
      </c>
      <c r="ED33" s="242">
        <f t="shared" si="1"/>
        <v>35728174.54</v>
      </c>
      <c r="EE33" s="242">
        <f t="shared" si="2"/>
        <v>-2654225.99</v>
      </c>
      <c r="EF33" s="63">
        <f t="shared" si="4"/>
        <v>18414683.89</v>
      </c>
      <c r="EG33" s="63">
        <f t="shared" si="5"/>
        <v>-17451265.57</v>
      </c>
    </row>
    <row r="34" spans="1:137">
      <c r="A34" s="57" t="s">
        <v>124</v>
      </c>
      <c r="B34" s="68">
        <v>4213575.85</v>
      </c>
      <c r="C34" s="68">
        <v>0</v>
      </c>
      <c r="D34" s="68">
        <v>0</v>
      </c>
      <c r="E34" s="68">
        <v>0</v>
      </c>
      <c r="F34" s="68">
        <v>1042374.56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528</v>
      </c>
      <c r="P34" s="68">
        <v>0</v>
      </c>
      <c r="Q34" s="68">
        <v>15214.53</v>
      </c>
      <c r="R34" s="68">
        <v>2333.88</v>
      </c>
      <c r="S34" s="68">
        <v>0</v>
      </c>
      <c r="T34" s="68">
        <v>0</v>
      </c>
      <c r="U34" s="68">
        <v>0</v>
      </c>
      <c r="V34" s="68">
        <v>0</v>
      </c>
      <c r="W34" s="68">
        <v>174155.28</v>
      </c>
      <c r="X34" s="68">
        <v>89931</v>
      </c>
      <c r="Y34" s="68">
        <v>45906.83</v>
      </c>
      <c r="Z34" s="68">
        <v>57367.63</v>
      </c>
      <c r="AA34" s="68">
        <v>29322.42</v>
      </c>
      <c r="AB34" s="68">
        <v>101.29</v>
      </c>
      <c r="AC34" s="68">
        <v>0</v>
      </c>
      <c r="AD34" s="68">
        <v>51273.86</v>
      </c>
      <c r="AE34" s="68">
        <v>2705066.57</v>
      </c>
      <c r="AF34" s="68">
        <v>36890.51</v>
      </c>
      <c r="AG34" s="68">
        <v>21696.54</v>
      </c>
      <c r="AH34" s="68">
        <v>21696.54</v>
      </c>
      <c r="AI34" s="68">
        <v>25184.3</v>
      </c>
      <c r="AJ34" s="68">
        <v>25148.3</v>
      </c>
      <c r="AK34" s="68">
        <v>21842.55</v>
      </c>
      <c r="AL34" s="68">
        <v>21696.54</v>
      </c>
      <c r="AM34" s="68">
        <v>12751.19</v>
      </c>
      <c r="AN34" s="68">
        <v>47583.01</v>
      </c>
      <c r="AO34" s="68">
        <v>29596.8</v>
      </c>
      <c r="AP34" s="68">
        <v>0</v>
      </c>
      <c r="AQ34" s="68">
        <v>0</v>
      </c>
      <c r="AR34" s="68">
        <v>0</v>
      </c>
      <c r="AS34" s="68">
        <v>0</v>
      </c>
      <c r="AT34" s="68">
        <v>0</v>
      </c>
      <c r="AU34" s="68">
        <v>26100.3</v>
      </c>
      <c r="AV34" s="68">
        <v>0</v>
      </c>
      <c r="AW34" s="68">
        <v>0</v>
      </c>
      <c r="AX34" s="68">
        <v>19806.53</v>
      </c>
      <c r="AY34" s="68">
        <v>29322.42</v>
      </c>
      <c r="AZ34" s="68">
        <v>0</v>
      </c>
      <c r="BA34" s="68">
        <v>82822.37</v>
      </c>
      <c r="BB34" s="68">
        <v>0</v>
      </c>
      <c r="BC34" s="68">
        <v>0</v>
      </c>
      <c r="BD34" s="68">
        <v>0</v>
      </c>
      <c r="BE34" s="68">
        <v>0</v>
      </c>
      <c r="BF34" s="68">
        <v>2622244.2</v>
      </c>
      <c r="BG34" s="68">
        <v>128762.97</v>
      </c>
      <c r="BH34" s="68">
        <v>100465.25</v>
      </c>
      <c r="BI34" s="68">
        <v>39939.42</v>
      </c>
      <c r="BJ34" s="68">
        <v>6394</v>
      </c>
      <c r="BK34" s="68">
        <v>68474.96</v>
      </c>
      <c r="BL34" s="68">
        <v>153930.48</v>
      </c>
      <c r="BM34" s="68">
        <v>43099.23</v>
      </c>
      <c r="BN34" s="68">
        <v>248593.6</v>
      </c>
      <c r="BO34" s="68">
        <v>34370.11</v>
      </c>
      <c r="BP34" s="68">
        <v>26475.63</v>
      </c>
      <c r="BQ34" s="68">
        <v>183186.95</v>
      </c>
      <c r="BR34" s="68">
        <v>134887.52</v>
      </c>
      <c r="BS34" s="68">
        <v>203089.77</v>
      </c>
      <c r="BT34" s="68">
        <v>70140.03</v>
      </c>
      <c r="BU34" s="68">
        <v>53279.73</v>
      </c>
      <c r="BV34" s="68">
        <v>42621.6</v>
      </c>
      <c r="BW34" s="68">
        <v>73363.1</v>
      </c>
      <c r="BX34" s="68">
        <v>103674.2</v>
      </c>
      <c r="BY34" s="68">
        <v>71432</v>
      </c>
      <c r="BZ34" s="68">
        <v>84677.08</v>
      </c>
      <c r="CA34" s="68">
        <v>72193.24</v>
      </c>
      <c r="CB34" s="68">
        <v>115281.54</v>
      </c>
      <c r="CC34" s="68">
        <v>14273.4</v>
      </c>
      <c r="CD34" s="68">
        <v>16033.12</v>
      </c>
      <c r="CE34" s="68">
        <v>13059.76</v>
      </c>
      <c r="CF34" s="68">
        <v>21242</v>
      </c>
      <c r="CG34" s="68">
        <v>15731</v>
      </c>
      <c r="CH34" s="68">
        <v>22977.36</v>
      </c>
      <c r="CI34" s="68">
        <v>22190</v>
      </c>
      <c r="CJ34" s="68">
        <v>34332.99</v>
      </c>
      <c r="CK34" s="68">
        <v>7620.25</v>
      </c>
      <c r="CL34" s="68">
        <v>16507</v>
      </c>
      <c r="CM34" s="68">
        <v>7521.76</v>
      </c>
      <c r="CN34" s="68">
        <v>18550</v>
      </c>
      <c r="CO34" s="68">
        <v>2883</v>
      </c>
      <c r="CP34" s="68">
        <v>36498.55</v>
      </c>
      <c r="CQ34" s="68">
        <v>21335.42</v>
      </c>
      <c r="CR34" s="68">
        <v>4471</v>
      </c>
      <c r="CS34" s="68">
        <v>13973.23</v>
      </c>
      <c r="CT34" s="68">
        <v>9012.9</v>
      </c>
      <c r="CU34" s="68">
        <v>8448.4</v>
      </c>
      <c r="CV34" s="68">
        <v>3869.43</v>
      </c>
      <c r="CW34" s="68">
        <v>12480.4</v>
      </c>
      <c r="CX34" s="68">
        <v>115</v>
      </c>
      <c r="CY34" s="68">
        <v>7487.2</v>
      </c>
      <c r="CZ34" s="68">
        <v>12067.32</v>
      </c>
      <c r="DA34" s="68">
        <v>7519</v>
      </c>
      <c r="DB34" s="68">
        <v>4279.24</v>
      </c>
      <c r="DC34" s="68">
        <v>16672.9</v>
      </c>
      <c r="DD34" s="68">
        <v>7348.2</v>
      </c>
      <c r="DE34" s="68">
        <v>4950</v>
      </c>
      <c r="DF34" s="68">
        <v>10472.77</v>
      </c>
      <c r="DG34" s="68">
        <v>9398.52</v>
      </c>
      <c r="DH34" s="68">
        <v>1932</v>
      </c>
      <c r="DI34" s="68">
        <v>1567.4</v>
      </c>
      <c r="DJ34" s="68">
        <v>9981</v>
      </c>
      <c r="DK34" s="68">
        <v>6426.34</v>
      </c>
      <c r="DL34" s="68">
        <v>9198.51</v>
      </c>
      <c r="DM34" s="68">
        <v>8144.8</v>
      </c>
      <c r="DN34" s="68">
        <v>12747.45</v>
      </c>
      <c r="DO34" s="68">
        <v>24327.68</v>
      </c>
      <c r="DP34" s="68">
        <v>11831.68</v>
      </c>
      <c r="DQ34" s="68">
        <v>37002.27</v>
      </c>
      <c r="DR34" s="68">
        <v>7741.04</v>
      </c>
      <c r="DS34" s="68">
        <v>14318.6</v>
      </c>
      <c r="DT34" s="68">
        <v>15371.9</v>
      </c>
      <c r="DU34" s="68">
        <v>0</v>
      </c>
      <c r="DV34" s="68"/>
      <c r="DW34" s="68"/>
      <c r="DX34" s="68"/>
      <c r="DY34" s="68"/>
      <c r="DZ34" s="68"/>
      <c r="EA34" s="63">
        <v>-2705066.57</v>
      </c>
      <c r="EB34" s="63">
        <f t="shared" si="0"/>
        <v>31548.51</v>
      </c>
      <c r="EC34" s="63">
        <f t="shared" si="3"/>
        <v>5229116.5</v>
      </c>
      <c r="ED34" s="63">
        <f t="shared" si="1"/>
        <v>2857525.31</v>
      </c>
      <c r="EE34" s="63">
        <f t="shared" si="2"/>
        <v>-8238.68</v>
      </c>
      <c r="EF34" s="63">
        <f t="shared" si="4"/>
        <v>-62527.74</v>
      </c>
      <c r="EG34" s="63">
        <f t="shared" si="5"/>
        <v>-63830.7</v>
      </c>
    </row>
    <row r="35" spans="1:137">
      <c r="A35" s="57" t="s">
        <v>125</v>
      </c>
      <c r="B35" s="68">
        <v>4425359.6</v>
      </c>
      <c r="C35" s="68">
        <v>58189.63</v>
      </c>
      <c r="D35" s="68">
        <v>0</v>
      </c>
      <c r="E35" s="68">
        <v>20030.84</v>
      </c>
      <c r="F35" s="68">
        <v>482609.58</v>
      </c>
      <c r="G35" s="68">
        <v>63017.61</v>
      </c>
      <c r="H35" s="68">
        <v>18076.26</v>
      </c>
      <c r="I35" s="68">
        <v>30021.85</v>
      </c>
      <c r="J35" s="68">
        <v>0</v>
      </c>
      <c r="K35" s="68">
        <v>11621.96</v>
      </c>
      <c r="L35" s="68">
        <v>16758.06</v>
      </c>
      <c r="M35" s="68">
        <v>26020.65</v>
      </c>
      <c r="N35" s="68">
        <v>28319.52</v>
      </c>
      <c r="O35" s="68">
        <v>51756.78</v>
      </c>
      <c r="P35" s="68">
        <v>45340.11</v>
      </c>
      <c r="Q35" s="68">
        <v>106207.9</v>
      </c>
      <c r="R35" s="68">
        <v>17711.74</v>
      </c>
      <c r="S35" s="68">
        <v>7658.83</v>
      </c>
      <c r="T35" s="68">
        <v>0</v>
      </c>
      <c r="U35" s="68">
        <v>0</v>
      </c>
      <c r="V35" s="68">
        <v>0</v>
      </c>
      <c r="W35" s="68">
        <v>396527.29</v>
      </c>
      <c r="X35" s="68">
        <v>317868.03</v>
      </c>
      <c r="Y35" s="68">
        <v>172216.49</v>
      </c>
      <c r="Z35" s="68">
        <v>294980.64</v>
      </c>
      <c r="AA35" s="68">
        <v>70973.91</v>
      </c>
      <c r="AB35" s="68">
        <v>18241.77</v>
      </c>
      <c r="AC35" s="68">
        <v>0</v>
      </c>
      <c r="AD35" s="68">
        <v>156408.11</v>
      </c>
      <c r="AE35" s="68">
        <v>2014802.04</v>
      </c>
      <c r="AF35" s="68">
        <v>189879.43</v>
      </c>
      <c r="AG35" s="68">
        <v>32275.05</v>
      </c>
      <c r="AH35" s="68">
        <v>43609.99</v>
      </c>
      <c r="AI35" s="68">
        <v>47849.48</v>
      </c>
      <c r="AJ35" s="68">
        <v>28507.91</v>
      </c>
      <c r="AK35" s="68">
        <v>24218.21</v>
      </c>
      <c r="AL35" s="68">
        <v>30187.22</v>
      </c>
      <c r="AM35" s="68">
        <v>55239.33</v>
      </c>
      <c r="AN35" s="68">
        <v>106286.55</v>
      </c>
      <c r="AO35" s="68">
        <v>54995.16</v>
      </c>
      <c r="AP35" s="68">
        <v>69424.73</v>
      </c>
      <c r="AQ35" s="68">
        <v>24775.84</v>
      </c>
      <c r="AR35" s="68">
        <v>5890.42</v>
      </c>
      <c r="AS35" s="68">
        <v>1256</v>
      </c>
      <c r="AT35" s="68">
        <v>0</v>
      </c>
      <c r="AU35" s="68">
        <v>49577.2</v>
      </c>
      <c r="AV35" s="68">
        <v>73236.07</v>
      </c>
      <c r="AW35" s="68">
        <v>34051.61</v>
      </c>
      <c r="AX35" s="68">
        <v>15351.61</v>
      </c>
      <c r="AY35" s="68">
        <v>66848</v>
      </c>
      <c r="AZ35" s="68">
        <v>4125.91</v>
      </c>
      <c r="BA35" s="68">
        <v>46591.94</v>
      </c>
      <c r="BB35" s="68">
        <v>43048.06</v>
      </c>
      <c r="BC35" s="68">
        <v>31218.16</v>
      </c>
      <c r="BD35" s="68">
        <v>44296.91</v>
      </c>
      <c r="BE35" s="68">
        <v>0</v>
      </c>
      <c r="BF35" s="68">
        <v>1849646.97</v>
      </c>
      <c r="BG35" s="68">
        <v>49510.36</v>
      </c>
      <c r="BH35" s="68">
        <v>63555.56</v>
      </c>
      <c r="BI35" s="68">
        <v>102959.03</v>
      </c>
      <c r="BJ35" s="68">
        <v>92782.2</v>
      </c>
      <c r="BK35" s="68">
        <v>60621.62</v>
      </c>
      <c r="BL35" s="68">
        <v>79031.18</v>
      </c>
      <c r="BM35" s="68">
        <v>30197.31</v>
      </c>
      <c r="BN35" s="68">
        <v>59170.05</v>
      </c>
      <c r="BO35" s="68">
        <v>59976.7</v>
      </c>
      <c r="BP35" s="68">
        <v>43442.68</v>
      </c>
      <c r="BQ35" s="68">
        <v>57275.55</v>
      </c>
      <c r="BR35" s="68">
        <v>80096.22</v>
      </c>
      <c r="BS35" s="68">
        <v>87362.68</v>
      </c>
      <c r="BT35" s="68">
        <v>59706.03</v>
      </c>
      <c r="BU35" s="68">
        <v>34575.33</v>
      </c>
      <c r="BV35" s="68">
        <v>21747.25</v>
      </c>
      <c r="BW35" s="68">
        <v>47384.29</v>
      </c>
      <c r="BX35" s="68">
        <v>24408.95</v>
      </c>
      <c r="BY35" s="68">
        <v>19816.15</v>
      </c>
      <c r="BZ35" s="68">
        <v>40585.51</v>
      </c>
      <c r="CA35" s="68">
        <v>37555.87</v>
      </c>
      <c r="CB35" s="68">
        <v>35959.32</v>
      </c>
      <c r="CC35" s="68">
        <v>14734.88</v>
      </c>
      <c r="CD35" s="68">
        <v>12715.7</v>
      </c>
      <c r="CE35" s="68">
        <v>18596.95</v>
      </c>
      <c r="CF35" s="68">
        <v>9017.97</v>
      </c>
      <c r="CG35" s="68">
        <v>14122.7</v>
      </c>
      <c r="CH35" s="68">
        <v>17281.67</v>
      </c>
      <c r="CI35" s="68">
        <v>12439.4</v>
      </c>
      <c r="CJ35" s="68">
        <v>67795.33</v>
      </c>
      <c r="CK35" s="68">
        <v>11970.8</v>
      </c>
      <c r="CL35" s="68">
        <v>11269.71</v>
      </c>
      <c r="CM35" s="68">
        <v>9394.75</v>
      </c>
      <c r="CN35" s="68">
        <v>12546.71</v>
      </c>
      <c r="CO35" s="68">
        <v>6485.35</v>
      </c>
      <c r="CP35" s="68">
        <v>34624.14</v>
      </c>
      <c r="CQ35" s="68">
        <v>46423.16</v>
      </c>
      <c r="CR35" s="68">
        <v>15734.48</v>
      </c>
      <c r="CS35" s="68">
        <v>5760.12</v>
      </c>
      <c r="CT35" s="68">
        <v>11374.57</v>
      </c>
      <c r="CU35" s="68">
        <v>9059.57</v>
      </c>
      <c r="CV35" s="68">
        <v>9193.76</v>
      </c>
      <c r="CW35" s="68">
        <v>15242.17</v>
      </c>
      <c r="CX35" s="68">
        <v>10737.02</v>
      </c>
      <c r="CY35" s="68">
        <v>8541.66</v>
      </c>
      <c r="CZ35" s="68">
        <v>14149.72</v>
      </c>
      <c r="DA35" s="68">
        <v>13587.72</v>
      </c>
      <c r="DB35" s="68">
        <v>11054.44</v>
      </c>
      <c r="DC35" s="68">
        <v>8058.8</v>
      </c>
      <c r="DD35" s="68">
        <v>17278.14</v>
      </c>
      <c r="DE35" s="68">
        <v>5530.23</v>
      </c>
      <c r="DF35" s="68">
        <v>14275.83</v>
      </c>
      <c r="DG35" s="68">
        <v>5668.18</v>
      </c>
      <c r="DH35" s="68">
        <v>7797.35</v>
      </c>
      <c r="DI35" s="68">
        <v>10111.31</v>
      </c>
      <c r="DJ35" s="68">
        <v>10384.87</v>
      </c>
      <c r="DK35" s="68">
        <v>9612.29</v>
      </c>
      <c r="DL35" s="68">
        <v>14645.29</v>
      </c>
      <c r="DM35" s="68">
        <v>10272.89</v>
      </c>
      <c r="DN35" s="68">
        <v>17515.57</v>
      </c>
      <c r="DO35" s="68">
        <v>19009.76</v>
      </c>
      <c r="DP35" s="68">
        <v>33071.01</v>
      </c>
      <c r="DQ35" s="68">
        <v>20791.32</v>
      </c>
      <c r="DR35" s="68">
        <v>7089.11</v>
      </c>
      <c r="DS35" s="68">
        <v>14308.56</v>
      </c>
      <c r="DT35" s="68">
        <v>12652.17</v>
      </c>
      <c r="DU35" s="68">
        <v>0</v>
      </c>
      <c r="DV35" s="68"/>
      <c r="DW35" s="68"/>
      <c r="DX35" s="68"/>
      <c r="DY35" s="68"/>
      <c r="DZ35" s="68"/>
      <c r="EA35" s="63">
        <v>-2014802.04</v>
      </c>
      <c r="EB35" s="63">
        <f t="shared" ref="EB35:EB52" si="6">SUM(AZ35:BE35)-AD35</f>
        <v>12872.87</v>
      </c>
      <c r="EC35" s="63">
        <f t="shared" si="3"/>
        <v>3686641.77</v>
      </c>
      <c r="ED35" s="63">
        <f t="shared" ref="ED35:ED52" si="7">SUM(AE35:AK35)-V35</f>
        <v>2381142.11</v>
      </c>
      <c r="EE35" s="63">
        <f t="shared" si="2"/>
        <v>-212781.03</v>
      </c>
      <c r="EF35" s="63">
        <f t="shared" si="4"/>
        <v>-48472.04</v>
      </c>
      <c r="EG35" s="63">
        <f t="shared" si="5"/>
        <v>-161003.15</v>
      </c>
    </row>
    <row r="36" spans="1:137">
      <c r="A36" s="57" t="s">
        <v>126</v>
      </c>
      <c r="B36" s="68">
        <v>2560215.42</v>
      </c>
      <c r="C36" s="68">
        <v>0</v>
      </c>
      <c r="D36" s="68">
        <v>487735.84</v>
      </c>
      <c r="E36" s="68">
        <v>0</v>
      </c>
      <c r="F36" s="68">
        <v>0</v>
      </c>
      <c r="G36" s="68">
        <v>1649888.92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177032.86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0</v>
      </c>
      <c r="W36" s="68">
        <v>0</v>
      </c>
      <c r="X36" s="68">
        <v>245557.8</v>
      </c>
      <c r="Y36" s="68">
        <v>0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68">
        <v>0</v>
      </c>
      <c r="AF36" s="68">
        <v>0</v>
      </c>
      <c r="AG36" s="68">
        <v>0</v>
      </c>
      <c r="AH36" s="68">
        <v>0</v>
      </c>
      <c r="AI36" s="68">
        <v>0</v>
      </c>
      <c r="AJ36" s="68">
        <v>0</v>
      </c>
      <c r="AK36" s="68">
        <v>0</v>
      </c>
      <c r="AL36" s="68">
        <v>0</v>
      </c>
      <c r="AM36" s="68">
        <v>0</v>
      </c>
      <c r="AN36" s="68">
        <v>245557.8</v>
      </c>
      <c r="AO36" s="68">
        <v>0</v>
      </c>
      <c r="AP36" s="68">
        <v>0</v>
      </c>
      <c r="AQ36" s="68">
        <v>0</v>
      </c>
      <c r="AR36" s="68">
        <v>0</v>
      </c>
      <c r="AS36" s="68">
        <v>0</v>
      </c>
      <c r="AT36" s="68">
        <v>0</v>
      </c>
      <c r="AU36" s="68">
        <v>0</v>
      </c>
      <c r="AV36" s="68">
        <v>0</v>
      </c>
      <c r="AW36" s="68">
        <v>0</v>
      </c>
      <c r="AX36" s="68">
        <v>0</v>
      </c>
      <c r="AY36" s="68">
        <v>0</v>
      </c>
      <c r="AZ36" s="68">
        <v>0</v>
      </c>
      <c r="BA36" s="68">
        <v>0</v>
      </c>
      <c r="BB36" s="68">
        <v>0</v>
      </c>
      <c r="BC36" s="68">
        <v>0</v>
      </c>
      <c r="BD36" s="68">
        <v>0</v>
      </c>
      <c r="BE36" s="68">
        <v>0</v>
      </c>
      <c r="BF36" s="68">
        <v>0</v>
      </c>
      <c r="BG36" s="68">
        <v>0</v>
      </c>
      <c r="BH36" s="68">
        <v>0</v>
      </c>
      <c r="BI36" s="68">
        <v>0</v>
      </c>
      <c r="BJ36" s="68">
        <v>0</v>
      </c>
      <c r="BK36" s="68">
        <v>0</v>
      </c>
      <c r="BL36" s="68">
        <v>0</v>
      </c>
      <c r="BM36" s="68">
        <v>0</v>
      </c>
      <c r="BN36" s="68">
        <v>0</v>
      </c>
      <c r="BO36" s="68">
        <v>0</v>
      </c>
      <c r="BP36" s="68">
        <v>0</v>
      </c>
      <c r="BQ36" s="68">
        <v>0</v>
      </c>
      <c r="BR36" s="68">
        <v>0</v>
      </c>
      <c r="BS36" s="68">
        <v>0</v>
      </c>
      <c r="BT36" s="68">
        <v>0</v>
      </c>
      <c r="BU36" s="68">
        <v>0</v>
      </c>
      <c r="BV36" s="68">
        <v>0</v>
      </c>
      <c r="BW36" s="68">
        <v>0</v>
      </c>
      <c r="BX36" s="68">
        <v>0</v>
      </c>
      <c r="BY36" s="68">
        <v>0</v>
      </c>
      <c r="BZ36" s="68">
        <v>0</v>
      </c>
      <c r="CA36" s="68">
        <v>0</v>
      </c>
      <c r="CB36" s="68">
        <v>0</v>
      </c>
      <c r="CC36" s="68">
        <v>0</v>
      </c>
      <c r="CD36" s="68">
        <v>0</v>
      </c>
      <c r="CE36" s="68">
        <v>0</v>
      </c>
      <c r="CF36" s="68">
        <v>0</v>
      </c>
      <c r="CG36" s="68">
        <v>0</v>
      </c>
      <c r="CH36" s="68">
        <v>0</v>
      </c>
      <c r="CI36" s="68">
        <v>0</v>
      </c>
      <c r="CJ36" s="68">
        <v>0</v>
      </c>
      <c r="CK36" s="68">
        <v>0</v>
      </c>
      <c r="CL36" s="68">
        <v>0</v>
      </c>
      <c r="CM36" s="68">
        <v>0</v>
      </c>
      <c r="CN36" s="68">
        <v>0</v>
      </c>
      <c r="CO36" s="68">
        <v>0</v>
      </c>
      <c r="CP36" s="68">
        <v>0</v>
      </c>
      <c r="CQ36" s="68">
        <v>0</v>
      </c>
      <c r="CR36" s="68">
        <v>0</v>
      </c>
      <c r="CS36" s="68">
        <v>0</v>
      </c>
      <c r="CT36" s="68">
        <v>0</v>
      </c>
      <c r="CU36" s="68">
        <v>0</v>
      </c>
      <c r="CV36" s="68">
        <v>0</v>
      </c>
      <c r="CW36" s="68">
        <v>0</v>
      </c>
      <c r="CX36" s="68">
        <v>0</v>
      </c>
      <c r="CY36" s="68">
        <v>0</v>
      </c>
      <c r="CZ36" s="68">
        <v>0</v>
      </c>
      <c r="DA36" s="68">
        <v>0</v>
      </c>
      <c r="DB36" s="68">
        <v>0</v>
      </c>
      <c r="DC36" s="68">
        <v>0</v>
      </c>
      <c r="DD36" s="68">
        <v>0</v>
      </c>
      <c r="DE36" s="68">
        <v>0</v>
      </c>
      <c r="DF36" s="68">
        <v>0</v>
      </c>
      <c r="DG36" s="68">
        <v>0</v>
      </c>
      <c r="DH36" s="68">
        <v>0</v>
      </c>
      <c r="DI36" s="68">
        <v>0</v>
      </c>
      <c r="DJ36" s="68">
        <v>0</v>
      </c>
      <c r="DK36" s="68">
        <v>0</v>
      </c>
      <c r="DL36" s="68">
        <v>0</v>
      </c>
      <c r="DM36" s="68">
        <v>0</v>
      </c>
      <c r="DN36" s="68">
        <v>0</v>
      </c>
      <c r="DO36" s="68">
        <v>0</v>
      </c>
      <c r="DP36" s="68">
        <v>0</v>
      </c>
      <c r="DQ36" s="68">
        <v>0</v>
      </c>
      <c r="DR36" s="68">
        <v>0</v>
      </c>
      <c r="DS36" s="68">
        <v>0</v>
      </c>
      <c r="DT36" s="68">
        <v>0</v>
      </c>
      <c r="DU36" s="68">
        <v>0</v>
      </c>
      <c r="DV36" s="68"/>
      <c r="DW36" s="68"/>
      <c r="DX36" s="68"/>
      <c r="DY36" s="68"/>
      <c r="DZ36" s="68"/>
      <c r="EA36" s="63">
        <v>0</v>
      </c>
      <c r="EB36" s="63">
        <f t="shared" si="6"/>
        <v>0</v>
      </c>
      <c r="EC36" s="63">
        <f t="shared" si="3"/>
        <v>0</v>
      </c>
      <c r="ED36" s="63">
        <f t="shared" si="7"/>
        <v>0</v>
      </c>
      <c r="EE36" s="63">
        <f t="shared" si="2"/>
        <v>0</v>
      </c>
      <c r="EF36" s="63">
        <f t="shared" si="4"/>
        <v>245557.8</v>
      </c>
      <c r="EG36" s="63">
        <f t="shared" si="5"/>
        <v>-245557.8</v>
      </c>
    </row>
    <row r="37" spans="1:137">
      <c r="A37" s="57" t="s">
        <v>127</v>
      </c>
      <c r="B37" s="68">
        <v>2570238.35</v>
      </c>
      <c r="C37" s="68">
        <v>0</v>
      </c>
      <c r="D37" s="68">
        <v>0</v>
      </c>
      <c r="E37" s="68">
        <v>0</v>
      </c>
      <c r="F37" s="68">
        <v>343927.1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93915.7</v>
      </c>
      <c r="X37" s="68">
        <v>0</v>
      </c>
      <c r="Y37" s="68">
        <v>25512.85</v>
      </c>
      <c r="Z37" s="68">
        <v>14580.88</v>
      </c>
      <c r="AA37" s="68">
        <v>8394.21</v>
      </c>
      <c r="AB37" s="68">
        <v>279.32</v>
      </c>
      <c r="AC37" s="68">
        <v>0</v>
      </c>
      <c r="AD37" s="68">
        <v>20216.43</v>
      </c>
      <c r="AE37" s="68">
        <v>2063411.86</v>
      </c>
      <c r="AF37" s="68">
        <v>15244.48</v>
      </c>
      <c r="AG37" s="68">
        <v>12045.55</v>
      </c>
      <c r="AH37" s="68">
        <v>12045.54</v>
      </c>
      <c r="AI37" s="68">
        <v>15244.52</v>
      </c>
      <c r="AJ37" s="68">
        <v>15244.52</v>
      </c>
      <c r="AK37" s="68">
        <v>12045.55</v>
      </c>
      <c r="AL37" s="68">
        <v>12045.54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15244.52</v>
      </c>
      <c r="AV37" s="68">
        <v>0</v>
      </c>
      <c r="AW37" s="68">
        <v>0</v>
      </c>
      <c r="AX37" s="68">
        <v>10268.33</v>
      </c>
      <c r="AY37" s="68">
        <v>8394.21</v>
      </c>
      <c r="AZ37" s="68">
        <v>0</v>
      </c>
      <c r="BA37" s="68">
        <v>0</v>
      </c>
      <c r="BB37" s="68">
        <v>0</v>
      </c>
      <c r="BC37" s="68">
        <v>0</v>
      </c>
      <c r="BD37" s="68">
        <v>0</v>
      </c>
      <c r="BE37" s="68">
        <v>0</v>
      </c>
      <c r="BF37" s="68">
        <v>2063411.86</v>
      </c>
      <c r="BG37" s="68">
        <v>98157.63</v>
      </c>
      <c r="BH37" s="68">
        <v>140138.3</v>
      </c>
      <c r="BI37" s="68">
        <v>45047.98</v>
      </c>
      <c r="BJ37" s="68">
        <v>130016.67</v>
      </c>
      <c r="BK37" s="68">
        <v>112731.54</v>
      </c>
      <c r="BL37" s="68">
        <v>100961.8</v>
      </c>
      <c r="BM37" s="68">
        <v>34875.77</v>
      </c>
      <c r="BN37" s="68">
        <v>158087.76</v>
      </c>
      <c r="BO37" s="68">
        <v>67100.1</v>
      </c>
      <c r="BP37" s="68">
        <v>42554.69</v>
      </c>
      <c r="BQ37" s="68">
        <v>232779.6</v>
      </c>
      <c r="BR37" s="68">
        <v>116798.98</v>
      </c>
      <c r="BS37" s="68">
        <v>103197.76</v>
      </c>
      <c r="BT37" s="68">
        <v>2201.02</v>
      </c>
      <c r="BU37" s="68">
        <v>42260.6</v>
      </c>
      <c r="BV37" s="68">
        <v>9584.62</v>
      </c>
      <c r="BW37" s="68">
        <v>74985.45</v>
      </c>
      <c r="BX37" s="68">
        <v>8230.95</v>
      </c>
      <c r="BY37" s="68">
        <v>12032.38</v>
      </c>
      <c r="BZ37" s="68">
        <v>9691.55</v>
      </c>
      <c r="CA37" s="68">
        <v>3632.85</v>
      </c>
      <c r="CB37" s="68">
        <v>98119.55</v>
      </c>
      <c r="CC37" s="68">
        <v>2152.01</v>
      </c>
      <c r="CD37" s="68">
        <v>6981.23</v>
      </c>
      <c r="CE37" s="68">
        <v>2572.2</v>
      </c>
      <c r="CF37" s="68">
        <v>2687.03</v>
      </c>
      <c r="CG37" s="68">
        <v>5282.62</v>
      </c>
      <c r="CH37" s="68">
        <v>8908</v>
      </c>
      <c r="CI37" s="68">
        <v>5936.74</v>
      </c>
      <c r="CJ37" s="68">
        <v>14950.96</v>
      </c>
      <c r="CK37" s="68">
        <v>1833.54</v>
      </c>
      <c r="CL37" s="68">
        <v>775.72</v>
      </c>
      <c r="CM37" s="68">
        <v>549.66</v>
      </c>
      <c r="CN37" s="68">
        <v>16486.29</v>
      </c>
      <c r="CO37" s="68">
        <v>1733.07</v>
      </c>
      <c r="CP37" s="68">
        <v>67178.8</v>
      </c>
      <c r="CQ37" s="68">
        <v>246320.63</v>
      </c>
      <c r="CR37" s="68">
        <v>739.65</v>
      </c>
      <c r="CS37" s="68">
        <v>1715.67</v>
      </c>
      <c r="CT37" s="68">
        <v>123</v>
      </c>
      <c r="CU37" s="68">
        <v>1053.88</v>
      </c>
      <c r="CV37" s="68">
        <v>326.62</v>
      </c>
      <c r="CW37" s="68">
        <v>485.78</v>
      </c>
      <c r="CX37" s="68">
        <v>1849.08</v>
      </c>
      <c r="CY37" s="68">
        <v>773.2</v>
      </c>
      <c r="CZ37" s="68">
        <v>452.91</v>
      </c>
      <c r="DA37" s="68">
        <v>653.82</v>
      </c>
      <c r="DB37" s="68">
        <v>593.63</v>
      </c>
      <c r="DC37" s="68">
        <v>3089.24</v>
      </c>
      <c r="DD37" s="68">
        <v>1987.42</v>
      </c>
      <c r="DE37" s="68">
        <v>1655.24</v>
      </c>
      <c r="DF37" s="68">
        <v>783.3</v>
      </c>
      <c r="DG37" s="68">
        <v>1473.89</v>
      </c>
      <c r="DH37" s="68">
        <v>986.13</v>
      </c>
      <c r="DI37" s="68">
        <v>849.52</v>
      </c>
      <c r="DJ37" s="68">
        <v>1236.53</v>
      </c>
      <c r="DK37" s="68">
        <v>1130.31</v>
      </c>
      <c r="DL37" s="68">
        <v>490.04</v>
      </c>
      <c r="DM37" s="68">
        <v>1810.6</v>
      </c>
      <c r="DN37" s="68">
        <v>1943.45</v>
      </c>
      <c r="DO37" s="68">
        <v>1173.55</v>
      </c>
      <c r="DP37" s="68">
        <v>1348.06</v>
      </c>
      <c r="DQ37" s="68">
        <v>3145.63</v>
      </c>
      <c r="DR37" s="68">
        <v>1365.4</v>
      </c>
      <c r="DS37" s="68">
        <v>1449.5</v>
      </c>
      <c r="DT37" s="68">
        <v>1190.76</v>
      </c>
      <c r="DU37" s="68">
        <v>0</v>
      </c>
      <c r="DV37" s="68"/>
      <c r="DW37" s="68"/>
      <c r="DX37" s="68"/>
      <c r="DY37" s="68"/>
      <c r="DZ37" s="68"/>
      <c r="EA37" s="63">
        <v>-2063411.86</v>
      </c>
      <c r="EB37" s="63">
        <f t="shared" si="6"/>
        <v>-20216.43</v>
      </c>
      <c r="EC37" s="63">
        <f t="shared" si="3"/>
        <v>4125632.96</v>
      </c>
      <c r="ED37" s="63">
        <f t="shared" si="7"/>
        <v>2145282.02</v>
      </c>
      <c r="EE37" s="63">
        <f t="shared" si="2"/>
        <v>4081.66</v>
      </c>
      <c r="EF37" s="63">
        <f t="shared" si="4"/>
        <v>-81870.16</v>
      </c>
      <c r="EG37" s="63">
        <f t="shared" si="5"/>
        <v>15244.52</v>
      </c>
    </row>
    <row r="38" spans="1:137">
      <c r="A38" s="57" t="s">
        <v>128</v>
      </c>
      <c r="B38" s="68">
        <v>245240.57</v>
      </c>
      <c r="C38" s="68">
        <v>0</v>
      </c>
      <c r="D38" s="68">
        <v>0</v>
      </c>
      <c r="E38" s="68">
        <v>245240.57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68">
        <v>0</v>
      </c>
      <c r="AD38" s="68">
        <v>0</v>
      </c>
      <c r="AE38" s="68">
        <v>0</v>
      </c>
      <c r="AF38" s="68">
        <v>0</v>
      </c>
      <c r="AG38" s="68">
        <v>0</v>
      </c>
      <c r="AH38" s="68">
        <v>0</v>
      </c>
      <c r="AI38" s="68">
        <v>0</v>
      </c>
      <c r="AJ38" s="68">
        <v>0</v>
      </c>
      <c r="AK38" s="68">
        <v>0</v>
      </c>
      <c r="AL38" s="68">
        <v>0</v>
      </c>
      <c r="AM38" s="68">
        <v>0</v>
      </c>
      <c r="AN38" s="68">
        <v>0</v>
      </c>
      <c r="AO38" s="68">
        <v>0</v>
      </c>
      <c r="AP38" s="68">
        <v>0</v>
      </c>
      <c r="AQ38" s="68">
        <v>0</v>
      </c>
      <c r="AR38" s="68">
        <v>0</v>
      </c>
      <c r="AS38" s="68">
        <v>0</v>
      </c>
      <c r="AT38" s="68">
        <v>0</v>
      </c>
      <c r="AU38" s="68">
        <v>0</v>
      </c>
      <c r="AV38" s="68">
        <v>0</v>
      </c>
      <c r="AW38" s="68">
        <v>0</v>
      </c>
      <c r="AX38" s="68">
        <v>0</v>
      </c>
      <c r="AY38" s="68">
        <v>0</v>
      </c>
      <c r="AZ38" s="68">
        <v>0</v>
      </c>
      <c r="BA38" s="68">
        <v>0</v>
      </c>
      <c r="BB38" s="68">
        <v>0</v>
      </c>
      <c r="BC38" s="68">
        <v>0</v>
      </c>
      <c r="BD38" s="68">
        <v>0</v>
      </c>
      <c r="BE38" s="68">
        <v>0</v>
      </c>
      <c r="BF38" s="68">
        <v>0</v>
      </c>
      <c r="BG38" s="68">
        <v>0</v>
      </c>
      <c r="BH38" s="68">
        <v>0</v>
      </c>
      <c r="BI38" s="68">
        <v>0</v>
      </c>
      <c r="BJ38" s="68">
        <v>0</v>
      </c>
      <c r="BK38" s="68">
        <v>0</v>
      </c>
      <c r="BL38" s="68">
        <v>0</v>
      </c>
      <c r="BM38" s="68">
        <v>0</v>
      </c>
      <c r="BN38" s="68">
        <v>0</v>
      </c>
      <c r="BO38" s="68">
        <v>0</v>
      </c>
      <c r="BP38" s="68">
        <v>0</v>
      </c>
      <c r="BQ38" s="68">
        <v>0</v>
      </c>
      <c r="BR38" s="68">
        <v>0</v>
      </c>
      <c r="BS38" s="68">
        <v>0</v>
      </c>
      <c r="BT38" s="68">
        <v>0</v>
      </c>
      <c r="BU38" s="68">
        <v>0</v>
      </c>
      <c r="BV38" s="68">
        <v>0</v>
      </c>
      <c r="BW38" s="68">
        <v>0</v>
      </c>
      <c r="BX38" s="68">
        <v>0</v>
      </c>
      <c r="BY38" s="68">
        <v>0</v>
      </c>
      <c r="BZ38" s="68">
        <v>0</v>
      </c>
      <c r="CA38" s="68">
        <v>0</v>
      </c>
      <c r="CB38" s="68">
        <v>0</v>
      </c>
      <c r="CC38" s="68">
        <v>0</v>
      </c>
      <c r="CD38" s="68">
        <v>0</v>
      </c>
      <c r="CE38" s="68">
        <v>0</v>
      </c>
      <c r="CF38" s="68">
        <v>0</v>
      </c>
      <c r="CG38" s="68">
        <v>0</v>
      </c>
      <c r="CH38" s="68">
        <v>0</v>
      </c>
      <c r="CI38" s="68">
        <v>0</v>
      </c>
      <c r="CJ38" s="68">
        <v>0</v>
      </c>
      <c r="CK38" s="68">
        <v>0</v>
      </c>
      <c r="CL38" s="68">
        <v>0</v>
      </c>
      <c r="CM38" s="68">
        <v>0</v>
      </c>
      <c r="CN38" s="68">
        <v>0</v>
      </c>
      <c r="CO38" s="68">
        <v>0</v>
      </c>
      <c r="CP38" s="68">
        <v>0</v>
      </c>
      <c r="CQ38" s="68">
        <v>0</v>
      </c>
      <c r="CR38" s="68">
        <v>0</v>
      </c>
      <c r="CS38" s="68">
        <v>0</v>
      </c>
      <c r="CT38" s="68">
        <v>0</v>
      </c>
      <c r="CU38" s="68">
        <v>0</v>
      </c>
      <c r="CV38" s="68">
        <v>0</v>
      </c>
      <c r="CW38" s="68">
        <v>0</v>
      </c>
      <c r="CX38" s="68">
        <v>0</v>
      </c>
      <c r="CY38" s="68">
        <v>0</v>
      </c>
      <c r="CZ38" s="68">
        <v>0</v>
      </c>
      <c r="DA38" s="68">
        <v>0</v>
      </c>
      <c r="DB38" s="68">
        <v>0</v>
      </c>
      <c r="DC38" s="68">
        <v>0</v>
      </c>
      <c r="DD38" s="68">
        <v>0</v>
      </c>
      <c r="DE38" s="68">
        <v>0</v>
      </c>
      <c r="DF38" s="68">
        <v>0</v>
      </c>
      <c r="DG38" s="68">
        <v>0</v>
      </c>
      <c r="DH38" s="68">
        <v>0</v>
      </c>
      <c r="DI38" s="68">
        <v>0</v>
      </c>
      <c r="DJ38" s="68">
        <v>0</v>
      </c>
      <c r="DK38" s="68">
        <v>0</v>
      </c>
      <c r="DL38" s="68">
        <v>0</v>
      </c>
      <c r="DM38" s="68">
        <v>0</v>
      </c>
      <c r="DN38" s="68">
        <v>0</v>
      </c>
      <c r="DO38" s="68">
        <v>0</v>
      </c>
      <c r="DP38" s="68">
        <v>0</v>
      </c>
      <c r="DQ38" s="68">
        <v>0</v>
      </c>
      <c r="DR38" s="68">
        <v>0</v>
      </c>
      <c r="DS38" s="68">
        <v>0</v>
      </c>
      <c r="DT38" s="68">
        <v>0</v>
      </c>
      <c r="DU38" s="68">
        <v>0</v>
      </c>
      <c r="DV38" s="68"/>
      <c r="DW38" s="68"/>
      <c r="DX38" s="68"/>
      <c r="DY38" s="68"/>
      <c r="DZ38" s="68"/>
      <c r="EA38" s="63">
        <v>0</v>
      </c>
      <c r="EB38" s="63">
        <f t="shared" si="6"/>
        <v>0</v>
      </c>
      <c r="EC38" s="63">
        <f t="shared" si="3"/>
        <v>0</v>
      </c>
      <c r="ED38" s="63">
        <f t="shared" si="7"/>
        <v>0</v>
      </c>
      <c r="EE38" s="63">
        <f t="shared" si="2"/>
        <v>0</v>
      </c>
      <c r="EF38" s="63">
        <f t="shared" si="4"/>
        <v>0</v>
      </c>
      <c r="EG38" s="63">
        <f t="shared" si="5"/>
        <v>0</v>
      </c>
    </row>
    <row r="39" spans="1:137">
      <c r="A39" s="57" t="s">
        <v>129</v>
      </c>
      <c r="B39" s="68">
        <v>750152.63</v>
      </c>
      <c r="C39" s="68">
        <v>0</v>
      </c>
      <c r="D39" s="68">
        <v>0</v>
      </c>
      <c r="E39" s="68">
        <v>0</v>
      </c>
      <c r="F39" s="68">
        <v>319844.49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13094.2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13841.94</v>
      </c>
      <c r="X39" s="68">
        <v>7746.26</v>
      </c>
      <c r="Y39" s="68">
        <v>400</v>
      </c>
      <c r="Z39" s="68">
        <v>650</v>
      </c>
      <c r="AA39" s="68">
        <v>1160.17</v>
      </c>
      <c r="AB39" s="68">
        <v>0</v>
      </c>
      <c r="AC39" s="68">
        <v>0</v>
      </c>
      <c r="AD39" s="68">
        <v>330</v>
      </c>
      <c r="AE39" s="68">
        <v>393085.57</v>
      </c>
      <c r="AF39" s="68">
        <v>6392.45</v>
      </c>
      <c r="AG39" s="68">
        <v>0</v>
      </c>
      <c r="AH39" s="68">
        <v>0</v>
      </c>
      <c r="AI39" s="68">
        <v>6020.49</v>
      </c>
      <c r="AJ39" s="68">
        <v>1429</v>
      </c>
      <c r="AK39" s="68">
        <v>0</v>
      </c>
      <c r="AL39" s="68">
        <v>0</v>
      </c>
      <c r="AM39" s="68">
        <v>6100</v>
      </c>
      <c r="AN39" s="68">
        <v>741.6</v>
      </c>
      <c r="AO39" s="68">
        <v>904.66</v>
      </c>
      <c r="AP39" s="68">
        <v>0</v>
      </c>
      <c r="AQ39" s="68">
        <v>0</v>
      </c>
      <c r="AR39" s="68">
        <v>0</v>
      </c>
      <c r="AS39" s="68">
        <v>0</v>
      </c>
      <c r="AT39" s="68">
        <v>0</v>
      </c>
      <c r="AU39" s="68">
        <v>400</v>
      </c>
      <c r="AV39" s="68">
        <v>0</v>
      </c>
      <c r="AW39" s="68">
        <v>0</v>
      </c>
      <c r="AX39" s="68">
        <v>0</v>
      </c>
      <c r="AY39" s="68">
        <v>1160.17</v>
      </c>
      <c r="AZ39" s="68">
        <v>0</v>
      </c>
      <c r="BA39" s="68">
        <v>20943.4</v>
      </c>
      <c r="BB39" s="68">
        <v>0</v>
      </c>
      <c r="BC39" s="68">
        <v>0</v>
      </c>
      <c r="BD39" s="68">
        <v>0</v>
      </c>
      <c r="BE39" s="68">
        <v>0</v>
      </c>
      <c r="BF39" s="68">
        <v>372142.17</v>
      </c>
      <c r="BG39" s="68">
        <v>16090.36</v>
      </c>
      <c r="BH39" s="68">
        <v>17844</v>
      </c>
      <c r="BI39" s="68">
        <v>18451.82</v>
      </c>
      <c r="BJ39" s="68">
        <v>20210.51</v>
      </c>
      <c r="BK39" s="68">
        <v>4200</v>
      </c>
      <c r="BL39" s="68">
        <v>19194.84</v>
      </c>
      <c r="BM39" s="68">
        <v>2672</v>
      </c>
      <c r="BN39" s="68">
        <v>15358.62</v>
      </c>
      <c r="BO39" s="68">
        <v>0</v>
      </c>
      <c r="BP39" s="68">
        <v>0</v>
      </c>
      <c r="BQ39" s="68">
        <v>111417.26</v>
      </c>
      <c r="BR39" s="68">
        <v>10316.88</v>
      </c>
      <c r="BS39" s="68">
        <v>427.35</v>
      </c>
      <c r="BT39" s="68">
        <v>12166.85</v>
      </c>
      <c r="BU39" s="68">
        <v>9787</v>
      </c>
      <c r="BV39" s="68">
        <v>470.94</v>
      </c>
      <c r="BW39" s="68">
        <v>9913</v>
      </c>
      <c r="BX39" s="68">
        <v>27083.76</v>
      </c>
      <c r="BY39" s="68">
        <v>5712</v>
      </c>
      <c r="BZ39" s="68">
        <v>8221.7</v>
      </c>
      <c r="CA39" s="68">
        <v>1635</v>
      </c>
      <c r="CB39" s="68">
        <v>5656.41</v>
      </c>
      <c r="CC39" s="68">
        <v>8042.23</v>
      </c>
      <c r="CD39" s="68">
        <v>0</v>
      </c>
      <c r="CE39" s="68">
        <v>280</v>
      </c>
      <c r="CF39" s="68">
        <v>1880</v>
      </c>
      <c r="CG39" s="68">
        <v>7246.23</v>
      </c>
      <c r="CH39" s="68">
        <v>3100</v>
      </c>
      <c r="CI39" s="68">
        <v>3848</v>
      </c>
      <c r="CJ39" s="68">
        <v>10050.38</v>
      </c>
      <c r="CK39" s="68">
        <v>0</v>
      </c>
      <c r="CL39" s="68">
        <v>500</v>
      </c>
      <c r="CM39" s="68">
        <v>2680</v>
      </c>
      <c r="CN39" s="68">
        <v>900</v>
      </c>
      <c r="CO39" s="68">
        <v>800</v>
      </c>
      <c r="CP39" s="68">
        <v>931.27</v>
      </c>
      <c r="CQ39" s="68">
        <v>450</v>
      </c>
      <c r="CR39" s="68">
        <v>0</v>
      </c>
      <c r="CS39" s="68">
        <v>0</v>
      </c>
      <c r="CT39" s="68">
        <v>0</v>
      </c>
      <c r="CU39" s="68">
        <v>0</v>
      </c>
      <c r="CV39" s="68">
        <v>0</v>
      </c>
      <c r="CW39" s="68">
        <v>0</v>
      </c>
      <c r="CX39" s="68">
        <v>1600</v>
      </c>
      <c r="CY39" s="68">
        <v>220</v>
      </c>
      <c r="CZ39" s="68">
        <v>0</v>
      </c>
      <c r="DA39" s="68">
        <v>0</v>
      </c>
      <c r="DB39" s="68">
        <v>0</v>
      </c>
      <c r="DC39" s="68">
        <v>0</v>
      </c>
      <c r="DD39" s="68">
        <v>0</v>
      </c>
      <c r="DE39" s="68">
        <v>0</v>
      </c>
      <c r="DF39" s="68">
        <v>0</v>
      </c>
      <c r="DG39" s="68">
        <v>0</v>
      </c>
      <c r="DH39" s="68">
        <v>9119.76</v>
      </c>
      <c r="DI39" s="68">
        <v>110</v>
      </c>
      <c r="DJ39" s="68">
        <v>0</v>
      </c>
      <c r="DK39" s="68">
        <v>0</v>
      </c>
      <c r="DL39" s="68">
        <v>0</v>
      </c>
      <c r="DM39" s="68">
        <v>0</v>
      </c>
      <c r="DN39" s="68">
        <v>0</v>
      </c>
      <c r="DO39" s="68">
        <v>0</v>
      </c>
      <c r="DP39" s="68">
        <v>0</v>
      </c>
      <c r="DQ39" s="68">
        <v>530</v>
      </c>
      <c r="DR39" s="68">
        <v>2354</v>
      </c>
      <c r="DS39" s="68">
        <v>670</v>
      </c>
      <c r="DT39" s="68">
        <v>0</v>
      </c>
      <c r="DU39" s="68">
        <v>0</v>
      </c>
      <c r="DV39" s="68"/>
      <c r="DW39" s="68"/>
      <c r="DX39" s="68"/>
      <c r="DY39" s="68"/>
      <c r="DZ39" s="68"/>
      <c r="EA39" s="63">
        <v>-393085.57</v>
      </c>
      <c r="EB39" s="63">
        <f t="shared" si="6"/>
        <v>20613.4</v>
      </c>
      <c r="EC39" s="63">
        <f t="shared" si="3"/>
        <v>744284.34</v>
      </c>
      <c r="ED39" s="63">
        <f t="shared" si="7"/>
        <v>406927.51</v>
      </c>
      <c r="EE39" s="63">
        <f t="shared" si="2"/>
        <v>510.17</v>
      </c>
      <c r="EF39" s="63">
        <f t="shared" si="4"/>
        <v>-6095.68</v>
      </c>
      <c r="EG39" s="63">
        <f t="shared" si="5"/>
        <v>-7346.26</v>
      </c>
    </row>
    <row r="40" spans="1:137">
      <c r="A40" s="57" t="s">
        <v>130</v>
      </c>
      <c r="B40" s="68">
        <v>2122900.77</v>
      </c>
      <c r="C40" s="68">
        <v>0</v>
      </c>
      <c r="D40" s="68">
        <v>1405277.77</v>
      </c>
      <c r="E40" s="68">
        <v>0</v>
      </c>
      <c r="F40" s="68">
        <v>147493</v>
      </c>
      <c r="G40" s="68">
        <v>0</v>
      </c>
      <c r="H40" s="68">
        <v>0</v>
      </c>
      <c r="I40" s="68">
        <v>0</v>
      </c>
      <c r="J40" s="68">
        <v>0</v>
      </c>
      <c r="K40" s="68">
        <v>4000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8000</v>
      </c>
      <c r="X40" s="68">
        <v>0</v>
      </c>
      <c r="Y40" s="68">
        <v>0</v>
      </c>
      <c r="Z40" s="68">
        <v>0</v>
      </c>
      <c r="AA40" s="68">
        <v>12000</v>
      </c>
      <c r="AB40" s="68">
        <v>0</v>
      </c>
      <c r="AC40" s="68">
        <v>0</v>
      </c>
      <c r="AD40" s="68">
        <v>0</v>
      </c>
      <c r="AE40" s="68">
        <v>546130</v>
      </c>
      <c r="AF40" s="68">
        <v>8000</v>
      </c>
      <c r="AG40" s="68">
        <v>0</v>
      </c>
      <c r="AH40" s="68">
        <v>0</v>
      </c>
      <c r="AI40" s="68">
        <v>0</v>
      </c>
      <c r="AJ40" s="68">
        <v>0</v>
      </c>
      <c r="AK40" s="68">
        <v>0</v>
      </c>
      <c r="AL40" s="68">
        <v>0</v>
      </c>
      <c r="AM40" s="68">
        <v>0</v>
      </c>
      <c r="AN40" s="68">
        <v>0</v>
      </c>
      <c r="AO40" s="68">
        <v>0</v>
      </c>
      <c r="AP40" s="68">
        <v>0</v>
      </c>
      <c r="AQ40" s="68">
        <v>0</v>
      </c>
      <c r="AR40" s="68">
        <v>0</v>
      </c>
      <c r="AS40" s="68">
        <v>0</v>
      </c>
      <c r="AT40" s="68">
        <v>0</v>
      </c>
      <c r="AU40" s="68">
        <v>0</v>
      </c>
      <c r="AV40" s="68">
        <v>0</v>
      </c>
      <c r="AW40" s="68">
        <v>0</v>
      </c>
      <c r="AX40" s="68">
        <v>0</v>
      </c>
      <c r="AY40" s="68">
        <v>12000</v>
      </c>
      <c r="AZ40" s="68">
        <v>0</v>
      </c>
      <c r="BA40" s="68">
        <v>0</v>
      </c>
      <c r="BB40" s="68">
        <v>0</v>
      </c>
      <c r="BC40" s="68">
        <v>0</v>
      </c>
      <c r="BD40" s="68">
        <v>0</v>
      </c>
      <c r="BE40" s="68">
        <v>0</v>
      </c>
      <c r="BF40" s="68">
        <v>546130</v>
      </c>
      <c r="BG40" s="68">
        <v>6000</v>
      </c>
      <c r="BH40" s="68">
        <v>6000</v>
      </c>
      <c r="BI40" s="68">
        <v>6000</v>
      </c>
      <c r="BJ40" s="68">
        <v>6000</v>
      </c>
      <c r="BK40" s="68">
        <v>6000</v>
      </c>
      <c r="BL40" s="68">
        <v>6000</v>
      </c>
      <c r="BM40" s="68">
        <v>6000</v>
      </c>
      <c r="BN40" s="68">
        <v>6000</v>
      </c>
      <c r="BO40" s="68">
        <v>8000</v>
      </c>
      <c r="BP40" s="68">
        <v>10000</v>
      </c>
      <c r="BQ40" s="68">
        <v>30000</v>
      </c>
      <c r="BR40" s="68">
        <v>22130</v>
      </c>
      <c r="BS40" s="68">
        <v>8000</v>
      </c>
      <c r="BT40" s="68">
        <v>8000</v>
      </c>
      <c r="BU40" s="68">
        <v>6000</v>
      </c>
      <c r="BV40" s="68">
        <v>6000</v>
      </c>
      <c r="BW40" s="68">
        <v>6000</v>
      </c>
      <c r="BX40" s="68">
        <v>6000</v>
      </c>
      <c r="BY40" s="68">
        <v>6000</v>
      </c>
      <c r="BZ40" s="68">
        <v>6000</v>
      </c>
      <c r="CA40" s="68">
        <v>6000</v>
      </c>
      <c r="CB40" s="68">
        <v>6000</v>
      </c>
      <c r="CC40" s="68">
        <v>6000</v>
      </c>
      <c r="CD40" s="68">
        <v>6000</v>
      </c>
      <c r="CE40" s="68">
        <v>9000</v>
      </c>
      <c r="CF40" s="68">
        <v>6000</v>
      </c>
      <c r="CG40" s="68">
        <v>6000</v>
      </c>
      <c r="CH40" s="68">
        <v>6000</v>
      </c>
      <c r="CI40" s="68">
        <v>6000</v>
      </c>
      <c r="CJ40" s="68">
        <v>6000</v>
      </c>
      <c r="CK40" s="68">
        <v>6000</v>
      </c>
      <c r="CL40" s="68">
        <v>6000</v>
      </c>
      <c r="CM40" s="68">
        <v>6000</v>
      </c>
      <c r="CN40" s="68">
        <v>6000</v>
      </c>
      <c r="CO40" s="68">
        <v>6000</v>
      </c>
      <c r="CP40" s="68">
        <v>5000</v>
      </c>
      <c r="CQ40" s="68">
        <v>5000</v>
      </c>
      <c r="CR40" s="68">
        <v>8000</v>
      </c>
      <c r="CS40" s="68">
        <v>8000</v>
      </c>
      <c r="CT40" s="68">
        <v>13000</v>
      </c>
      <c r="CU40" s="68">
        <v>8000</v>
      </c>
      <c r="CV40" s="68">
        <v>10000</v>
      </c>
      <c r="CW40" s="68">
        <v>20000</v>
      </c>
      <c r="CX40" s="68">
        <v>16000</v>
      </c>
      <c r="CY40" s="68">
        <v>12500</v>
      </c>
      <c r="CZ40" s="68">
        <v>10000</v>
      </c>
      <c r="DA40" s="68">
        <v>6000</v>
      </c>
      <c r="DB40" s="68">
        <v>10000</v>
      </c>
      <c r="DC40" s="68">
        <v>0</v>
      </c>
      <c r="DD40" s="68">
        <v>10000</v>
      </c>
      <c r="DE40" s="68">
        <v>15000</v>
      </c>
      <c r="DF40" s="68">
        <v>10000</v>
      </c>
      <c r="DG40" s="68">
        <v>15000</v>
      </c>
      <c r="DH40" s="68">
        <v>0</v>
      </c>
      <c r="DI40" s="68">
        <v>20000</v>
      </c>
      <c r="DJ40" s="68">
        <v>6000</v>
      </c>
      <c r="DK40" s="68">
        <v>12000</v>
      </c>
      <c r="DL40" s="68">
        <v>10000</v>
      </c>
      <c r="DM40" s="68">
        <v>0</v>
      </c>
      <c r="DN40" s="68">
        <v>7500</v>
      </c>
      <c r="DO40" s="68">
        <v>8000</v>
      </c>
      <c r="DP40" s="68">
        <v>5000</v>
      </c>
      <c r="DQ40" s="68">
        <v>18000</v>
      </c>
      <c r="DR40" s="68">
        <v>5000</v>
      </c>
      <c r="DS40" s="68">
        <v>5000</v>
      </c>
      <c r="DT40" s="68">
        <v>5000</v>
      </c>
      <c r="DU40" s="68">
        <v>0</v>
      </c>
      <c r="DV40" s="68"/>
      <c r="DW40" s="68"/>
      <c r="DX40" s="68"/>
      <c r="DY40" s="68"/>
      <c r="DZ40" s="68"/>
      <c r="EA40" s="63">
        <v>-546130</v>
      </c>
      <c r="EB40" s="63">
        <f t="shared" si="6"/>
        <v>0</v>
      </c>
      <c r="EC40" s="63">
        <f t="shared" si="3"/>
        <v>1087260</v>
      </c>
      <c r="ED40" s="63">
        <f t="shared" si="7"/>
        <v>554130</v>
      </c>
      <c r="EE40" s="63">
        <f t="shared" si="2"/>
        <v>12000</v>
      </c>
      <c r="EF40" s="63">
        <f t="shared" si="4"/>
        <v>-8000</v>
      </c>
      <c r="EG40" s="63">
        <f t="shared" si="5"/>
        <v>0</v>
      </c>
    </row>
    <row r="41" spans="1:137">
      <c r="A41" s="57" t="s">
        <v>131</v>
      </c>
      <c r="B41" s="68">
        <v>864932.18</v>
      </c>
      <c r="C41" s="68">
        <v>0</v>
      </c>
      <c r="D41" s="68">
        <v>0</v>
      </c>
      <c r="E41" s="68">
        <v>56603.77</v>
      </c>
      <c r="F41" s="68">
        <v>0</v>
      </c>
      <c r="G41" s="68">
        <v>0</v>
      </c>
      <c r="H41" s="68">
        <v>0</v>
      </c>
      <c r="I41" s="68">
        <v>158414.15</v>
      </c>
      <c r="J41" s="68">
        <v>0</v>
      </c>
      <c r="K41" s="68">
        <v>0</v>
      </c>
      <c r="L41" s="68">
        <v>141509.43</v>
      </c>
      <c r="M41" s="68">
        <v>0</v>
      </c>
      <c r="N41" s="68">
        <v>0</v>
      </c>
      <c r="O41" s="68">
        <v>0</v>
      </c>
      <c r="P41" s="68">
        <v>75471.7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113207.54</v>
      </c>
      <c r="X41" s="68">
        <v>265250.04</v>
      </c>
      <c r="Y41" s="68">
        <v>0</v>
      </c>
      <c r="Z41" s="68">
        <v>0</v>
      </c>
      <c r="AA41" s="68">
        <v>0</v>
      </c>
      <c r="AB41" s="68">
        <v>0</v>
      </c>
      <c r="AC41" s="68">
        <v>0</v>
      </c>
      <c r="AD41" s="68">
        <v>0</v>
      </c>
      <c r="AE41" s="68">
        <v>54475.55</v>
      </c>
      <c r="AF41" s="68">
        <v>0</v>
      </c>
      <c r="AG41" s="68">
        <v>0</v>
      </c>
      <c r="AH41" s="68">
        <v>113207.54</v>
      </c>
      <c r="AI41" s="68">
        <v>0</v>
      </c>
      <c r="AJ41" s="68">
        <v>0</v>
      </c>
      <c r="AK41" s="68">
        <v>0</v>
      </c>
      <c r="AL41" s="68">
        <v>0</v>
      </c>
      <c r="AM41" s="68">
        <v>0</v>
      </c>
      <c r="AN41" s="68">
        <v>236398.6</v>
      </c>
      <c r="AO41" s="68">
        <v>28851.44</v>
      </c>
      <c r="AP41" s="68">
        <v>0</v>
      </c>
      <c r="AQ41" s="68">
        <v>0</v>
      </c>
      <c r="AR41" s="68">
        <v>0</v>
      </c>
      <c r="AS41" s="68">
        <v>0</v>
      </c>
      <c r="AT41" s="68">
        <v>0</v>
      </c>
      <c r="AU41" s="68">
        <v>0</v>
      </c>
      <c r="AV41" s="68">
        <v>0</v>
      </c>
      <c r="AW41" s="68">
        <v>0</v>
      </c>
      <c r="AX41" s="68">
        <v>0</v>
      </c>
      <c r="AY41" s="68">
        <v>0</v>
      </c>
      <c r="AZ41" s="68">
        <v>0</v>
      </c>
      <c r="BA41" s="68">
        <v>0</v>
      </c>
      <c r="BB41" s="68">
        <v>0</v>
      </c>
      <c r="BC41" s="68">
        <v>0</v>
      </c>
      <c r="BD41" s="68">
        <v>0</v>
      </c>
      <c r="BE41" s="68">
        <v>0</v>
      </c>
      <c r="BF41" s="68">
        <v>54475.55</v>
      </c>
      <c r="BG41" s="68">
        <v>0</v>
      </c>
      <c r="BH41" s="68">
        <v>0</v>
      </c>
      <c r="BI41" s="68">
        <v>0</v>
      </c>
      <c r="BJ41" s="68">
        <v>0</v>
      </c>
      <c r="BK41" s="68">
        <v>0</v>
      </c>
      <c r="BL41" s="68">
        <v>0</v>
      </c>
      <c r="BM41" s="68">
        <v>0</v>
      </c>
      <c r="BN41" s="68">
        <v>0</v>
      </c>
      <c r="BO41" s="68">
        <v>41061.4</v>
      </c>
      <c r="BP41" s="68">
        <v>0</v>
      </c>
      <c r="BQ41" s="68">
        <v>0</v>
      </c>
      <c r="BR41" s="68">
        <v>0</v>
      </c>
      <c r="BS41" s="68">
        <v>13414.15</v>
      </c>
      <c r="BT41" s="68">
        <v>0</v>
      </c>
      <c r="BU41" s="68">
        <v>0</v>
      </c>
      <c r="BV41" s="68">
        <v>0</v>
      </c>
      <c r="BW41" s="68">
        <v>0</v>
      </c>
      <c r="BX41" s="68">
        <v>0</v>
      </c>
      <c r="BY41" s="68">
        <v>0</v>
      </c>
      <c r="BZ41" s="68">
        <v>0</v>
      </c>
      <c r="CA41" s="68">
        <v>0</v>
      </c>
      <c r="CB41" s="68">
        <v>0</v>
      </c>
      <c r="CC41" s="68">
        <v>0</v>
      </c>
      <c r="CD41" s="68">
        <v>0</v>
      </c>
      <c r="CE41" s="68">
        <v>0</v>
      </c>
      <c r="CF41" s="68">
        <v>0</v>
      </c>
      <c r="CG41" s="68">
        <v>0</v>
      </c>
      <c r="CH41" s="68">
        <v>0</v>
      </c>
      <c r="CI41" s="68">
        <v>0</v>
      </c>
      <c r="CJ41" s="68">
        <v>0</v>
      </c>
      <c r="CK41" s="68">
        <v>0</v>
      </c>
      <c r="CL41" s="68">
        <v>0</v>
      </c>
      <c r="CM41" s="68">
        <v>0</v>
      </c>
      <c r="CN41" s="68">
        <v>0</v>
      </c>
      <c r="CO41" s="68">
        <v>0</v>
      </c>
      <c r="CP41" s="68">
        <v>0</v>
      </c>
      <c r="CQ41" s="68">
        <v>0</v>
      </c>
      <c r="CR41" s="68">
        <v>0</v>
      </c>
      <c r="CS41" s="68">
        <v>0</v>
      </c>
      <c r="CT41" s="68">
        <v>0</v>
      </c>
      <c r="CU41" s="68">
        <v>0</v>
      </c>
      <c r="CV41" s="68">
        <v>0</v>
      </c>
      <c r="CW41" s="68">
        <v>0</v>
      </c>
      <c r="CX41" s="68">
        <v>0</v>
      </c>
      <c r="CY41" s="68">
        <v>0</v>
      </c>
      <c r="CZ41" s="68">
        <v>0</v>
      </c>
      <c r="DA41" s="68">
        <v>0</v>
      </c>
      <c r="DB41" s="68">
        <v>0</v>
      </c>
      <c r="DC41" s="68">
        <v>0</v>
      </c>
      <c r="DD41" s="68">
        <v>0</v>
      </c>
      <c r="DE41" s="68">
        <v>0</v>
      </c>
      <c r="DF41" s="68">
        <v>0</v>
      </c>
      <c r="DG41" s="68">
        <v>0</v>
      </c>
      <c r="DH41" s="68">
        <v>0</v>
      </c>
      <c r="DI41" s="68">
        <v>0</v>
      </c>
      <c r="DJ41" s="68">
        <v>0</v>
      </c>
      <c r="DK41" s="68">
        <v>0</v>
      </c>
      <c r="DL41" s="68">
        <v>0</v>
      </c>
      <c r="DM41" s="68">
        <v>0</v>
      </c>
      <c r="DN41" s="68">
        <v>0</v>
      </c>
      <c r="DO41" s="68">
        <v>0</v>
      </c>
      <c r="DP41" s="68">
        <v>0</v>
      </c>
      <c r="DQ41" s="68">
        <v>0</v>
      </c>
      <c r="DR41" s="68">
        <v>0</v>
      </c>
      <c r="DS41" s="68">
        <v>0</v>
      </c>
      <c r="DT41" s="68">
        <v>0</v>
      </c>
      <c r="DU41" s="68">
        <v>0</v>
      </c>
      <c r="DV41" s="68"/>
      <c r="DW41" s="68"/>
      <c r="DX41" s="68"/>
      <c r="DY41" s="68"/>
      <c r="DZ41" s="68"/>
      <c r="EA41" s="63">
        <v>-54475.55</v>
      </c>
      <c r="EB41" s="63">
        <f t="shared" si="6"/>
        <v>0</v>
      </c>
      <c r="EC41" s="63">
        <f t="shared" si="3"/>
        <v>108951.1</v>
      </c>
      <c r="ED41" s="63">
        <f t="shared" si="7"/>
        <v>167683.09</v>
      </c>
      <c r="EE41" s="63">
        <f t="shared" si="2"/>
        <v>0</v>
      </c>
      <c r="EF41" s="63">
        <f t="shared" si="4"/>
        <v>152042.5</v>
      </c>
      <c r="EG41" s="63">
        <f t="shared" si="5"/>
        <v>-265250.04</v>
      </c>
    </row>
    <row r="42" spans="1:137">
      <c r="A42" s="57" t="s">
        <v>132</v>
      </c>
      <c r="B42" s="68">
        <v>0</v>
      </c>
      <c r="C42" s="68">
        <v>0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0</v>
      </c>
      <c r="AC42" s="68">
        <v>0</v>
      </c>
      <c r="AD42" s="68">
        <v>0</v>
      </c>
      <c r="AE42" s="68">
        <v>0</v>
      </c>
      <c r="AF42" s="68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0</v>
      </c>
      <c r="AL42" s="68">
        <v>0</v>
      </c>
      <c r="AM42" s="68">
        <v>0</v>
      </c>
      <c r="AN42" s="68">
        <v>0</v>
      </c>
      <c r="AO42" s="68">
        <v>0</v>
      </c>
      <c r="AP42" s="68">
        <v>0</v>
      </c>
      <c r="AQ42" s="68">
        <v>0</v>
      </c>
      <c r="AR42" s="68">
        <v>0</v>
      </c>
      <c r="AS42" s="68">
        <v>0</v>
      </c>
      <c r="AT42" s="68">
        <v>0</v>
      </c>
      <c r="AU42" s="68">
        <v>0</v>
      </c>
      <c r="AV42" s="68">
        <v>0</v>
      </c>
      <c r="AW42" s="68">
        <v>0</v>
      </c>
      <c r="AX42" s="68">
        <v>0</v>
      </c>
      <c r="AY42" s="68">
        <v>0</v>
      </c>
      <c r="AZ42" s="68">
        <v>0</v>
      </c>
      <c r="BA42" s="68">
        <v>0</v>
      </c>
      <c r="BB42" s="68">
        <v>0</v>
      </c>
      <c r="BC42" s="68">
        <v>0</v>
      </c>
      <c r="BD42" s="68">
        <v>0</v>
      </c>
      <c r="BE42" s="68">
        <v>0</v>
      </c>
      <c r="BF42" s="68">
        <v>0</v>
      </c>
      <c r="BG42" s="68">
        <v>0</v>
      </c>
      <c r="BH42" s="68">
        <v>0</v>
      </c>
      <c r="BI42" s="68">
        <v>0</v>
      </c>
      <c r="BJ42" s="68">
        <v>0</v>
      </c>
      <c r="BK42" s="68">
        <v>0</v>
      </c>
      <c r="BL42" s="68">
        <v>0</v>
      </c>
      <c r="BM42" s="68">
        <v>0</v>
      </c>
      <c r="BN42" s="68">
        <v>0</v>
      </c>
      <c r="BO42" s="68">
        <v>0</v>
      </c>
      <c r="BP42" s="68">
        <v>0</v>
      </c>
      <c r="BQ42" s="68">
        <v>0</v>
      </c>
      <c r="BR42" s="68">
        <v>0</v>
      </c>
      <c r="BS42" s="68">
        <v>0</v>
      </c>
      <c r="BT42" s="68">
        <v>0</v>
      </c>
      <c r="BU42" s="68">
        <v>0</v>
      </c>
      <c r="BV42" s="68">
        <v>0</v>
      </c>
      <c r="BW42" s="68">
        <v>0</v>
      </c>
      <c r="BX42" s="68">
        <v>0</v>
      </c>
      <c r="BY42" s="68">
        <v>0</v>
      </c>
      <c r="BZ42" s="68">
        <v>0</v>
      </c>
      <c r="CA42" s="68">
        <v>0</v>
      </c>
      <c r="CB42" s="68">
        <v>0</v>
      </c>
      <c r="CC42" s="68">
        <v>0</v>
      </c>
      <c r="CD42" s="68">
        <v>0</v>
      </c>
      <c r="CE42" s="68">
        <v>0</v>
      </c>
      <c r="CF42" s="68">
        <v>0</v>
      </c>
      <c r="CG42" s="68">
        <v>0</v>
      </c>
      <c r="CH42" s="68">
        <v>0</v>
      </c>
      <c r="CI42" s="68">
        <v>0</v>
      </c>
      <c r="CJ42" s="68">
        <v>0</v>
      </c>
      <c r="CK42" s="68">
        <v>0</v>
      </c>
      <c r="CL42" s="68">
        <v>0</v>
      </c>
      <c r="CM42" s="68">
        <v>0</v>
      </c>
      <c r="CN42" s="68">
        <v>0</v>
      </c>
      <c r="CO42" s="68">
        <v>0</v>
      </c>
      <c r="CP42" s="68">
        <v>0</v>
      </c>
      <c r="CQ42" s="68">
        <v>0</v>
      </c>
      <c r="CR42" s="68">
        <v>0</v>
      </c>
      <c r="CS42" s="68">
        <v>0</v>
      </c>
      <c r="CT42" s="68">
        <v>0</v>
      </c>
      <c r="CU42" s="68">
        <v>0</v>
      </c>
      <c r="CV42" s="68">
        <v>0</v>
      </c>
      <c r="CW42" s="68">
        <v>0</v>
      </c>
      <c r="CX42" s="68">
        <v>0</v>
      </c>
      <c r="CY42" s="68">
        <v>0</v>
      </c>
      <c r="CZ42" s="68">
        <v>0</v>
      </c>
      <c r="DA42" s="68">
        <v>0</v>
      </c>
      <c r="DB42" s="68">
        <v>0</v>
      </c>
      <c r="DC42" s="68">
        <v>0</v>
      </c>
      <c r="DD42" s="68">
        <v>0</v>
      </c>
      <c r="DE42" s="68">
        <v>0</v>
      </c>
      <c r="DF42" s="68">
        <v>0</v>
      </c>
      <c r="DG42" s="68">
        <v>0</v>
      </c>
      <c r="DH42" s="68">
        <v>0</v>
      </c>
      <c r="DI42" s="68">
        <v>0</v>
      </c>
      <c r="DJ42" s="68">
        <v>0</v>
      </c>
      <c r="DK42" s="68">
        <v>0</v>
      </c>
      <c r="DL42" s="68">
        <v>0</v>
      </c>
      <c r="DM42" s="68">
        <v>0</v>
      </c>
      <c r="DN42" s="68">
        <v>0</v>
      </c>
      <c r="DO42" s="68">
        <v>0</v>
      </c>
      <c r="DP42" s="68">
        <v>0</v>
      </c>
      <c r="DQ42" s="68">
        <v>0</v>
      </c>
      <c r="DR42" s="68">
        <v>0</v>
      </c>
      <c r="DS42" s="68">
        <v>0</v>
      </c>
      <c r="DT42" s="68">
        <v>0</v>
      </c>
      <c r="DU42" s="68">
        <v>0</v>
      </c>
      <c r="DV42" s="68"/>
      <c r="DW42" s="68"/>
      <c r="DX42" s="68"/>
      <c r="DY42" s="68"/>
      <c r="DZ42" s="68"/>
      <c r="EA42" s="63">
        <v>0</v>
      </c>
      <c r="EB42" s="63">
        <f t="shared" si="6"/>
        <v>0</v>
      </c>
      <c r="EC42" s="63">
        <f t="shared" si="3"/>
        <v>0</v>
      </c>
      <c r="ED42" s="63">
        <f t="shared" si="7"/>
        <v>0</v>
      </c>
      <c r="EE42" s="63">
        <f t="shared" si="2"/>
        <v>0</v>
      </c>
      <c r="EF42" s="63">
        <f t="shared" si="4"/>
        <v>0</v>
      </c>
      <c r="EG42" s="63">
        <f t="shared" si="5"/>
        <v>0</v>
      </c>
    </row>
    <row r="43" spans="1:137">
      <c r="A43" s="57" t="s">
        <v>133</v>
      </c>
      <c r="B43" s="68">
        <v>15325653.57</v>
      </c>
      <c r="C43" s="68">
        <v>0</v>
      </c>
      <c r="D43" s="68">
        <v>130540.22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8835740.78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224069.87</v>
      </c>
      <c r="X43" s="68">
        <v>0</v>
      </c>
      <c r="Y43" s="68">
        <v>204391.22</v>
      </c>
      <c r="Z43" s="68">
        <v>257240.92</v>
      </c>
      <c r="AA43" s="68">
        <v>0</v>
      </c>
      <c r="AB43" s="68">
        <v>18000</v>
      </c>
      <c r="AC43" s="68">
        <v>0</v>
      </c>
      <c r="AD43" s="68">
        <v>0</v>
      </c>
      <c r="AE43" s="68">
        <v>5655670.56</v>
      </c>
      <c r="AF43" s="68">
        <v>12252.26</v>
      </c>
      <c r="AG43" s="68">
        <v>50588.34</v>
      </c>
      <c r="AH43" s="68">
        <v>19393.5</v>
      </c>
      <c r="AI43" s="68">
        <v>39545.16</v>
      </c>
      <c r="AJ43" s="68">
        <v>96143.7</v>
      </c>
      <c r="AK43" s="68">
        <v>0</v>
      </c>
      <c r="AL43" s="68">
        <v>6146.91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164846.06</v>
      </c>
      <c r="AV43" s="68">
        <v>0</v>
      </c>
      <c r="AW43" s="68">
        <v>19772.58</v>
      </c>
      <c r="AX43" s="68">
        <v>19772.58</v>
      </c>
      <c r="AY43" s="68">
        <v>0</v>
      </c>
      <c r="AZ43" s="68">
        <v>0</v>
      </c>
      <c r="BA43" s="68">
        <v>0</v>
      </c>
      <c r="BB43" s="68">
        <v>0</v>
      </c>
      <c r="BC43" s="68">
        <v>0</v>
      </c>
      <c r="BD43" s="68">
        <v>1578.17</v>
      </c>
      <c r="BE43" s="68">
        <v>0</v>
      </c>
      <c r="BF43" s="68">
        <v>5654092.39</v>
      </c>
      <c r="BG43" s="68">
        <v>297039.5</v>
      </c>
      <c r="BH43" s="68">
        <v>317578.21</v>
      </c>
      <c r="BI43" s="68">
        <v>248881.18</v>
      </c>
      <c r="BJ43" s="68">
        <v>182020.46</v>
      </c>
      <c r="BK43" s="68">
        <v>303142.82</v>
      </c>
      <c r="BL43" s="68">
        <v>304345.37</v>
      </c>
      <c r="BM43" s="68">
        <v>137704.31</v>
      </c>
      <c r="BN43" s="68">
        <v>377231.12</v>
      </c>
      <c r="BO43" s="68">
        <v>254933.07</v>
      </c>
      <c r="BP43" s="68">
        <v>176187.2</v>
      </c>
      <c r="BQ43" s="68">
        <v>384788</v>
      </c>
      <c r="BR43" s="68">
        <v>279771.46</v>
      </c>
      <c r="BS43" s="68">
        <v>237114.19</v>
      </c>
      <c r="BT43" s="68">
        <v>167586.58</v>
      </c>
      <c r="BU43" s="68">
        <v>164573.04</v>
      </c>
      <c r="BV43" s="68">
        <v>107472.27</v>
      </c>
      <c r="BW43" s="68">
        <v>142008.11</v>
      </c>
      <c r="BX43" s="68">
        <v>143433.13</v>
      </c>
      <c r="BY43" s="68">
        <v>121584.22</v>
      </c>
      <c r="BZ43" s="68">
        <v>67667.18</v>
      </c>
      <c r="CA43" s="68">
        <v>83709.64</v>
      </c>
      <c r="CB43" s="68">
        <v>150374</v>
      </c>
      <c r="CC43" s="68">
        <v>27960.18</v>
      </c>
      <c r="CD43" s="68">
        <v>33795</v>
      </c>
      <c r="CE43" s="68">
        <v>60754.31</v>
      </c>
      <c r="CF43" s="68">
        <v>28162</v>
      </c>
      <c r="CG43" s="68">
        <v>19659.24</v>
      </c>
      <c r="CH43" s="68">
        <v>75687.18</v>
      </c>
      <c r="CI43" s="68">
        <v>38109.75</v>
      </c>
      <c r="CJ43" s="68">
        <v>69611</v>
      </c>
      <c r="CK43" s="68">
        <v>7675</v>
      </c>
      <c r="CL43" s="68">
        <v>36793.08</v>
      </c>
      <c r="CM43" s="68">
        <v>7657</v>
      </c>
      <c r="CN43" s="68">
        <v>18937.57</v>
      </c>
      <c r="CO43" s="68">
        <v>19838</v>
      </c>
      <c r="CP43" s="68">
        <v>82663.7</v>
      </c>
      <c r="CQ43" s="68">
        <v>62846.19</v>
      </c>
      <c r="CR43" s="68">
        <v>29949</v>
      </c>
      <c r="CS43" s="68">
        <v>655</v>
      </c>
      <c r="CT43" s="68">
        <v>4006</v>
      </c>
      <c r="CU43" s="68">
        <v>2167</v>
      </c>
      <c r="CV43" s="68">
        <v>8594</v>
      </c>
      <c r="CW43" s="68">
        <v>11090</v>
      </c>
      <c r="CX43" s="68">
        <v>2534</v>
      </c>
      <c r="CY43" s="68">
        <v>1919</v>
      </c>
      <c r="CZ43" s="68">
        <v>6020</v>
      </c>
      <c r="DA43" s="68">
        <v>1544</v>
      </c>
      <c r="DB43" s="68">
        <v>243</v>
      </c>
      <c r="DC43" s="68">
        <v>4804</v>
      </c>
      <c r="DD43" s="68">
        <v>3239</v>
      </c>
      <c r="DE43" s="68">
        <v>4568.24</v>
      </c>
      <c r="DF43" s="68">
        <v>12652.24</v>
      </c>
      <c r="DG43" s="68">
        <v>10032</v>
      </c>
      <c r="DH43" s="68">
        <v>2960</v>
      </c>
      <c r="DI43" s="68">
        <v>741</v>
      </c>
      <c r="DJ43" s="68">
        <v>553.01</v>
      </c>
      <c r="DK43" s="68">
        <v>1553</v>
      </c>
      <c r="DL43" s="68">
        <v>976</v>
      </c>
      <c r="DM43" s="68">
        <v>1493</v>
      </c>
      <c r="DN43" s="68">
        <v>70346.27</v>
      </c>
      <c r="DO43" s="68">
        <v>73357.47</v>
      </c>
      <c r="DP43" s="68">
        <v>83187</v>
      </c>
      <c r="DQ43" s="68">
        <v>29307.92</v>
      </c>
      <c r="DR43" s="68">
        <v>7165</v>
      </c>
      <c r="DS43" s="68">
        <v>6461.24</v>
      </c>
      <c r="DT43" s="68">
        <v>32680.74</v>
      </c>
      <c r="DU43" s="68">
        <v>0</v>
      </c>
      <c r="DV43" s="68"/>
      <c r="DW43" s="68"/>
      <c r="DX43" s="68"/>
      <c r="DY43" s="68"/>
      <c r="DZ43" s="68"/>
      <c r="EA43" s="63">
        <v>-5655670.56</v>
      </c>
      <c r="EB43" s="63">
        <f t="shared" si="6"/>
        <v>1578.17</v>
      </c>
      <c r="EC43" s="63">
        <f t="shared" si="3"/>
        <v>11275504.04</v>
      </c>
      <c r="ED43" s="63">
        <f t="shared" si="7"/>
        <v>5873593.52</v>
      </c>
      <c r="EE43" s="63">
        <f t="shared" si="2"/>
        <v>-237468.34</v>
      </c>
      <c r="EF43" s="63">
        <f t="shared" si="4"/>
        <v>-217922.96</v>
      </c>
      <c r="EG43" s="63">
        <f t="shared" si="5"/>
        <v>184618.64</v>
      </c>
    </row>
    <row r="44" spans="1:137">
      <c r="A44" s="57" t="s">
        <v>134</v>
      </c>
      <c r="B44" s="68">
        <v>5514187.82</v>
      </c>
      <c r="C44" s="68">
        <v>0</v>
      </c>
      <c r="D44" s="68">
        <v>0</v>
      </c>
      <c r="E44" s="68">
        <v>300</v>
      </c>
      <c r="F44" s="68">
        <v>0</v>
      </c>
      <c r="G44" s="68">
        <v>459</v>
      </c>
      <c r="H44" s="68">
        <v>170.94</v>
      </c>
      <c r="I44" s="68">
        <v>600</v>
      </c>
      <c r="J44" s="68">
        <v>0</v>
      </c>
      <c r="K44" s="68">
        <v>0</v>
      </c>
      <c r="L44" s="68">
        <v>0</v>
      </c>
      <c r="M44" s="68">
        <v>154533.96</v>
      </c>
      <c r="N44" s="68">
        <v>0</v>
      </c>
      <c r="O44" s="68">
        <v>16509.43</v>
      </c>
      <c r="P44" s="68">
        <v>0</v>
      </c>
      <c r="Q44" s="68">
        <v>911009.5</v>
      </c>
      <c r="R44" s="68">
        <v>0</v>
      </c>
      <c r="S44" s="68">
        <v>0</v>
      </c>
      <c r="T44" s="68">
        <v>0</v>
      </c>
      <c r="U44" s="68">
        <v>0</v>
      </c>
      <c r="V44" s="68">
        <v>0</v>
      </c>
      <c r="W44" s="68">
        <v>357007.14</v>
      </c>
      <c r="X44" s="68">
        <v>9521.89</v>
      </c>
      <c r="Y44" s="68">
        <v>391001.95</v>
      </c>
      <c r="Z44" s="68">
        <v>970440.14</v>
      </c>
      <c r="AA44" s="68">
        <v>4400</v>
      </c>
      <c r="AB44" s="68">
        <v>0</v>
      </c>
      <c r="AC44" s="68">
        <v>0</v>
      </c>
      <c r="AD44" s="68">
        <v>2264.16</v>
      </c>
      <c r="AE44" s="68">
        <v>2695969.71</v>
      </c>
      <c r="AF44" s="68">
        <v>1560</v>
      </c>
      <c r="AG44" s="68">
        <v>78118.44</v>
      </c>
      <c r="AH44" s="68">
        <v>78118.44</v>
      </c>
      <c r="AI44" s="68">
        <v>36050.87</v>
      </c>
      <c r="AJ44" s="68">
        <v>42367.92</v>
      </c>
      <c r="AK44" s="68">
        <v>55417.38</v>
      </c>
      <c r="AL44" s="68">
        <v>65374.09</v>
      </c>
      <c r="AM44" s="68">
        <v>5471.7</v>
      </c>
      <c r="AN44" s="68">
        <v>1220</v>
      </c>
      <c r="AO44" s="68">
        <v>0</v>
      </c>
      <c r="AP44" s="68">
        <v>2452.83</v>
      </c>
      <c r="AQ44" s="68">
        <v>377.36</v>
      </c>
      <c r="AR44" s="68">
        <v>0</v>
      </c>
      <c r="AS44" s="68">
        <v>0</v>
      </c>
      <c r="AT44" s="68">
        <v>0</v>
      </c>
      <c r="AU44" s="68">
        <v>221893.99</v>
      </c>
      <c r="AV44" s="68">
        <v>3603.25</v>
      </c>
      <c r="AW44" s="68">
        <v>84312.03</v>
      </c>
      <c r="AX44" s="68">
        <v>81192.68</v>
      </c>
      <c r="AY44" s="68">
        <v>4400</v>
      </c>
      <c r="AZ44" s="68">
        <v>0</v>
      </c>
      <c r="BA44" s="68">
        <v>0</v>
      </c>
      <c r="BB44" s="68">
        <v>38207.54</v>
      </c>
      <c r="BC44" s="68">
        <v>16460.22</v>
      </c>
      <c r="BD44" s="68">
        <v>631530.5</v>
      </c>
      <c r="BE44" s="68">
        <v>0</v>
      </c>
      <c r="BF44" s="68">
        <v>2009771.45</v>
      </c>
      <c r="BG44" s="68">
        <v>106986.66</v>
      </c>
      <c r="BH44" s="68">
        <v>122129.94</v>
      </c>
      <c r="BI44" s="68">
        <v>105288.25</v>
      </c>
      <c r="BJ44" s="68">
        <v>100923.88</v>
      </c>
      <c r="BK44" s="68">
        <v>122177.46</v>
      </c>
      <c r="BL44" s="68">
        <v>141760.39</v>
      </c>
      <c r="BM44" s="68">
        <v>38593.25</v>
      </c>
      <c r="BN44" s="68">
        <v>130675.92</v>
      </c>
      <c r="BO44" s="68">
        <v>44621.08</v>
      </c>
      <c r="BP44" s="68">
        <v>32956.25</v>
      </c>
      <c r="BQ44" s="68">
        <v>99012.28</v>
      </c>
      <c r="BR44" s="68">
        <v>74553.25</v>
      </c>
      <c r="BS44" s="68">
        <v>103887.89</v>
      </c>
      <c r="BT44" s="68">
        <v>48249.25</v>
      </c>
      <c r="BU44" s="68">
        <v>39056.25</v>
      </c>
      <c r="BV44" s="68">
        <v>37195.25</v>
      </c>
      <c r="BW44" s="68">
        <v>40762.25</v>
      </c>
      <c r="BX44" s="68">
        <v>61467.92</v>
      </c>
      <c r="BY44" s="68">
        <v>36295.25</v>
      </c>
      <c r="BZ44" s="68">
        <v>22352.25</v>
      </c>
      <c r="CA44" s="68">
        <v>30631.25</v>
      </c>
      <c r="CB44" s="68">
        <v>48540.66</v>
      </c>
      <c r="CC44" s="68">
        <v>16318.25</v>
      </c>
      <c r="CD44" s="68">
        <v>16006.25</v>
      </c>
      <c r="CE44" s="68">
        <v>12699.25</v>
      </c>
      <c r="CF44" s="68">
        <v>16569.25</v>
      </c>
      <c r="CG44" s="68">
        <v>12628.25</v>
      </c>
      <c r="CH44" s="68">
        <v>19753.25</v>
      </c>
      <c r="CI44" s="68">
        <v>16284.25</v>
      </c>
      <c r="CJ44" s="68">
        <v>35530.25</v>
      </c>
      <c r="CK44" s="68">
        <v>8063.25</v>
      </c>
      <c r="CL44" s="68">
        <v>16435.91</v>
      </c>
      <c r="CM44" s="68">
        <v>7500.25</v>
      </c>
      <c r="CN44" s="68">
        <v>8826.25</v>
      </c>
      <c r="CO44" s="68">
        <v>13523.25</v>
      </c>
      <c r="CP44" s="68">
        <v>11611.25</v>
      </c>
      <c r="CQ44" s="68">
        <v>26404.25</v>
      </c>
      <c r="CR44" s="68">
        <v>8334.25</v>
      </c>
      <c r="CS44" s="68">
        <v>3859.25</v>
      </c>
      <c r="CT44" s="68">
        <v>5481.25</v>
      </c>
      <c r="CU44" s="68">
        <v>4452.25</v>
      </c>
      <c r="CV44" s="68">
        <v>7777.25</v>
      </c>
      <c r="CW44" s="68">
        <v>7249.93</v>
      </c>
      <c r="CX44" s="68">
        <v>4771.25</v>
      </c>
      <c r="CY44" s="68">
        <v>4661.25</v>
      </c>
      <c r="CZ44" s="68">
        <v>6427.25</v>
      </c>
      <c r="DA44" s="68">
        <v>4466.25</v>
      </c>
      <c r="DB44" s="68">
        <v>3711.25</v>
      </c>
      <c r="DC44" s="68">
        <v>5825.25</v>
      </c>
      <c r="DD44" s="68">
        <v>5449.25</v>
      </c>
      <c r="DE44" s="68">
        <v>5267.25</v>
      </c>
      <c r="DF44" s="68">
        <v>8185.25</v>
      </c>
      <c r="DG44" s="68">
        <v>5940.25</v>
      </c>
      <c r="DH44" s="68">
        <v>5408.25</v>
      </c>
      <c r="DI44" s="68">
        <v>3841.25</v>
      </c>
      <c r="DJ44" s="68">
        <v>3749.25</v>
      </c>
      <c r="DK44" s="68">
        <v>4139.25</v>
      </c>
      <c r="DL44" s="68">
        <v>3957.25</v>
      </c>
      <c r="DM44" s="68">
        <v>4182.25</v>
      </c>
      <c r="DN44" s="68">
        <v>6735.1</v>
      </c>
      <c r="DO44" s="68">
        <v>18006.91</v>
      </c>
      <c r="DP44" s="68">
        <v>13636.25</v>
      </c>
      <c r="DQ44" s="68">
        <v>12515.02</v>
      </c>
      <c r="DR44" s="68">
        <v>4239.25</v>
      </c>
      <c r="DS44" s="68">
        <v>6113.25</v>
      </c>
      <c r="DT44" s="68">
        <v>5119.25</v>
      </c>
      <c r="DU44" s="68">
        <v>0</v>
      </c>
      <c r="DV44" s="68"/>
      <c r="DW44" s="68"/>
      <c r="DX44" s="68"/>
      <c r="DY44" s="68"/>
      <c r="DZ44" s="68"/>
      <c r="EA44" s="63">
        <v>-2695969.71</v>
      </c>
      <c r="EB44" s="63">
        <f t="shared" si="6"/>
        <v>683934.1</v>
      </c>
      <c r="EC44" s="63">
        <f t="shared" si="3"/>
        <v>4014423.65</v>
      </c>
      <c r="ED44" s="63">
        <f t="shared" si="7"/>
        <v>2987602.76</v>
      </c>
      <c r="EE44" s="63">
        <f t="shared" si="2"/>
        <v>-884847.46</v>
      </c>
      <c r="EF44" s="63">
        <f t="shared" si="4"/>
        <v>-282111.16</v>
      </c>
      <c r="EG44" s="63">
        <f t="shared" si="5"/>
        <v>300287.38</v>
      </c>
    </row>
    <row r="45" spans="1:137">
      <c r="A45" s="57" t="s">
        <v>135</v>
      </c>
      <c r="B45" s="68">
        <v>38706485.25</v>
      </c>
      <c r="C45" s="68">
        <v>0</v>
      </c>
      <c r="D45" s="68">
        <v>0</v>
      </c>
      <c r="E45" s="68">
        <v>0</v>
      </c>
      <c r="F45" s="68">
        <v>2623645.56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29540.41</v>
      </c>
      <c r="P45" s="68">
        <v>0</v>
      </c>
      <c r="Q45" s="68">
        <v>0</v>
      </c>
      <c r="R45" s="68">
        <v>135079.27</v>
      </c>
      <c r="S45" s="68">
        <v>0</v>
      </c>
      <c r="T45" s="68">
        <v>0</v>
      </c>
      <c r="U45" s="68">
        <v>0</v>
      </c>
      <c r="V45" s="68">
        <v>0</v>
      </c>
      <c r="W45" s="68">
        <v>8057157.04</v>
      </c>
      <c r="X45" s="68">
        <v>694649.52</v>
      </c>
      <c r="Y45" s="68">
        <v>514563.06</v>
      </c>
      <c r="Z45" s="68">
        <v>214369.15</v>
      </c>
      <c r="AA45" s="68">
        <v>171675.18</v>
      </c>
      <c r="AB45" s="68">
        <v>42307.27</v>
      </c>
      <c r="AC45" s="68">
        <v>0</v>
      </c>
      <c r="AD45" s="68">
        <v>168056</v>
      </c>
      <c r="AE45" s="68">
        <v>26055442.79</v>
      </c>
      <c r="AF45" s="68">
        <v>6394963.43</v>
      </c>
      <c r="AG45" s="68">
        <v>257200.74</v>
      </c>
      <c r="AH45" s="68">
        <v>257918.61</v>
      </c>
      <c r="AI45" s="68">
        <v>319178.4</v>
      </c>
      <c r="AJ45" s="68">
        <v>306557.05</v>
      </c>
      <c r="AK45" s="68">
        <v>264391.07</v>
      </c>
      <c r="AL45" s="68">
        <v>256947.74</v>
      </c>
      <c r="AM45" s="68">
        <v>113027.13</v>
      </c>
      <c r="AN45" s="68">
        <v>359831.22</v>
      </c>
      <c r="AO45" s="68">
        <v>221707.17</v>
      </c>
      <c r="AP45" s="68">
        <v>0</v>
      </c>
      <c r="AQ45" s="68">
        <v>0</v>
      </c>
      <c r="AR45" s="68">
        <v>84</v>
      </c>
      <c r="AS45" s="68">
        <v>0</v>
      </c>
      <c r="AT45" s="68">
        <v>0</v>
      </c>
      <c r="AU45" s="68">
        <v>306557.05</v>
      </c>
      <c r="AV45" s="68">
        <v>1895</v>
      </c>
      <c r="AW45" s="68">
        <v>0</v>
      </c>
      <c r="AX45" s="68">
        <v>206111.01</v>
      </c>
      <c r="AY45" s="68">
        <v>171675.18</v>
      </c>
      <c r="AZ45" s="68">
        <v>0</v>
      </c>
      <c r="BA45" s="68">
        <v>677848.21</v>
      </c>
      <c r="BB45" s="68">
        <v>0</v>
      </c>
      <c r="BC45" s="68">
        <v>0</v>
      </c>
      <c r="BD45" s="68">
        <v>0</v>
      </c>
      <c r="BE45" s="68">
        <v>0</v>
      </c>
      <c r="BF45" s="68">
        <v>25377594.58</v>
      </c>
      <c r="BG45" s="68">
        <v>634885.2</v>
      </c>
      <c r="BH45" s="68">
        <v>917182.44</v>
      </c>
      <c r="BI45" s="68">
        <v>872346.59</v>
      </c>
      <c r="BJ45" s="68">
        <v>667677.26</v>
      </c>
      <c r="BK45" s="68">
        <v>1080085.75</v>
      </c>
      <c r="BL45" s="68">
        <v>395194.37</v>
      </c>
      <c r="BM45" s="68">
        <v>201032.25</v>
      </c>
      <c r="BN45" s="68">
        <v>355729.28</v>
      </c>
      <c r="BO45" s="68">
        <v>1058483.2</v>
      </c>
      <c r="BP45" s="68">
        <v>1224400.34</v>
      </c>
      <c r="BQ45" s="68">
        <v>1829463.44</v>
      </c>
      <c r="BR45" s="68">
        <v>945314.67</v>
      </c>
      <c r="BS45" s="68">
        <v>1694332.72</v>
      </c>
      <c r="BT45" s="68">
        <v>1362727.93</v>
      </c>
      <c r="BU45" s="68">
        <v>560393.24</v>
      </c>
      <c r="BV45" s="68">
        <v>140300.23</v>
      </c>
      <c r="BW45" s="68">
        <v>213227.82</v>
      </c>
      <c r="BX45" s="68">
        <v>412772.28</v>
      </c>
      <c r="BY45" s="68">
        <v>291631</v>
      </c>
      <c r="BZ45" s="68">
        <v>258912.97</v>
      </c>
      <c r="CA45" s="68">
        <v>247478.93</v>
      </c>
      <c r="CB45" s="68">
        <v>343468.01</v>
      </c>
      <c r="CC45" s="68">
        <v>365074.68</v>
      </c>
      <c r="CD45" s="68">
        <v>151551.43</v>
      </c>
      <c r="CE45" s="68">
        <v>127133.66</v>
      </c>
      <c r="CF45" s="68">
        <v>148219.26</v>
      </c>
      <c r="CG45" s="68">
        <v>110825.74</v>
      </c>
      <c r="CH45" s="68">
        <v>186266</v>
      </c>
      <c r="CI45" s="68">
        <v>145518.06</v>
      </c>
      <c r="CJ45" s="68">
        <v>393937.35</v>
      </c>
      <c r="CK45" s="68">
        <v>71721.81</v>
      </c>
      <c r="CL45" s="68">
        <v>343797</v>
      </c>
      <c r="CM45" s="68">
        <v>38443.76</v>
      </c>
      <c r="CN45" s="68">
        <v>75737.18</v>
      </c>
      <c r="CO45" s="68">
        <v>131152.32</v>
      </c>
      <c r="CP45" s="68">
        <v>1046112.23</v>
      </c>
      <c r="CQ45" s="68">
        <v>81106.57</v>
      </c>
      <c r="CR45" s="68">
        <v>326828</v>
      </c>
      <c r="CS45" s="68">
        <v>140607.67</v>
      </c>
      <c r="CT45" s="68">
        <v>296063.25</v>
      </c>
      <c r="CU45" s="68">
        <v>147498.7</v>
      </c>
      <c r="CV45" s="68">
        <v>102957.7</v>
      </c>
      <c r="CW45" s="68">
        <v>172190.82</v>
      </c>
      <c r="CX45" s="68">
        <v>64146.05</v>
      </c>
      <c r="CY45" s="68">
        <v>115429.3</v>
      </c>
      <c r="CZ45" s="68">
        <v>119264.35</v>
      </c>
      <c r="DA45" s="68">
        <v>202027.14</v>
      </c>
      <c r="DB45" s="68">
        <v>160605.34</v>
      </c>
      <c r="DC45" s="68">
        <v>153254.73</v>
      </c>
      <c r="DD45" s="68">
        <v>118156.8</v>
      </c>
      <c r="DE45" s="68">
        <v>100631.58</v>
      </c>
      <c r="DF45" s="68">
        <v>116374.23</v>
      </c>
      <c r="DG45" s="68">
        <v>92404.18</v>
      </c>
      <c r="DH45" s="68">
        <v>142004.04</v>
      </c>
      <c r="DI45" s="68">
        <v>168706.73</v>
      </c>
      <c r="DJ45" s="68">
        <v>198119.11</v>
      </c>
      <c r="DK45" s="68">
        <v>69011</v>
      </c>
      <c r="DL45" s="68">
        <v>147906.76</v>
      </c>
      <c r="DM45" s="68">
        <v>164302.47</v>
      </c>
      <c r="DN45" s="68">
        <v>459654.16</v>
      </c>
      <c r="DO45" s="68">
        <v>1116814.2</v>
      </c>
      <c r="DP45" s="68">
        <v>179692.67</v>
      </c>
      <c r="DQ45" s="68">
        <v>469977.88</v>
      </c>
      <c r="DR45" s="68">
        <v>99272.4</v>
      </c>
      <c r="DS45" s="68">
        <v>497969.85</v>
      </c>
      <c r="DT45" s="68">
        <v>112086.5</v>
      </c>
      <c r="DU45" s="68">
        <v>0</v>
      </c>
      <c r="DV45" s="68"/>
      <c r="DW45" s="68"/>
      <c r="DX45" s="68"/>
      <c r="DY45" s="68"/>
      <c r="DZ45" s="68"/>
      <c r="EA45" s="63">
        <v>-26055442.79</v>
      </c>
      <c r="EB45" s="63">
        <f t="shared" si="6"/>
        <v>509792.21</v>
      </c>
      <c r="EC45" s="63">
        <f t="shared" si="3"/>
        <v>50643102.66</v>
      </c>
      <c r="ED45" s="63">
        <f t="shared" si="7"/>
        <v>33855652.09</v>
      </c>
      <c r="EE45" s="63">
        <f t="shared" si="2"/>
        <v>163417.04</v>
      </c>
      <c r="EF45" s="63">
        <f t="shared" si="4"/>
        <v>-7105559.78</v>
      </c>
      <c r="EG45" s="63">
        <f t="shared" si="5"/>
        <v>-386197.47</v>
      </c>
    </row>
    <row r="46" spans="1:137">
      <c r="A46" s="57" t="s">
        <v>136</v>
      </c>
      <c r="B46" s="68">
        <v>17845623.41</v>
      </c>
      <c r="C46" s="68">
        <v>0</v>
      </c>
      <c r="D46" s="68">
        <v>12258596.86</v>
      </c>
      <c r="E46" s="68">
        <v>0</v>
      </c>
      <c r="F46" s="68">
        <v>80151.5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-110.5</v>
      </c>
      <c r="Q46" s="68">
        <v>1127963.37</v>
      </c>
      <c r="R46" s="68">
        <v>0</v>
      </c>
      <c r="S46" s="68">
        <v>0</v>
      </c>
      <c r="T46" s="68">
        <v>0</v>
      </c>
      <c r="U46" s="68">
        <v>0</v>
      </c>
      <c r="V46" s="68">
        <v>0</v>
      </c>
      <c r="W46" s="68">
        <v>646640.99</v>
      </c>
      <c r="X46" s="68">
        <v>0</v>
      </c>
      <c r="Y46" s="68">
        <v>6711.29</v>
      </c>
      <c r="Z46" s="68">
        <v>288639.73</v>
      </c>
      <c r="AA46" s="68">
        <v>245920.19</v>
      </c>
      <c r="AB46" s="68">
        <v>23281.86</v>
      </c>
      <c r="AC46" s="68">
        <v>0</v>
      </c>
      <c r="AD46" s="68">
        <v>0</v>
      </c>
      <c r="AE46" s="68">
        <v>3167828.12</v>
      </c>
      <c r="AF46" s="68">
        <v>514668.67</v>
      </c>
      <c r="AG46" s="68">
        <v>26826.08</v>
      </c>
      <c r="AH46" s="68">
        <v>26948.8</v>
      </c>
      <c r="AI46" s="68">
        <v>32647.97</v>
      </c>
      <c r="AJ46" s="68">
        <v>14202.96</v>
      </c>
      <c r="AK46" s="68">
        <v>4555.7</v>
      </c>
      <c r="AL46" s="68">
        <v>26790.81</v>
      </c>
      <c r="AM46" s="68">
        <v>0</v>
      </c>
      <c r="AN46" s="68">
        <v>0</v>
      </c>
      <c r="AO46" s="68">
        <v>0</v>
      </c>
      <c r="AP46" s="68">
        <v>0</v>
      </c>
      <c r="AQ46" s="68">
        <v>0</v>
      </c>
      <c r="AR46" s="68">
        <v>0</v>
      </c>
      <c r="AS46" s="68">
        <v>0</v>
      </c>
      <c r="AT46" s="68">
        <v>0</v>
      </c>
      <c r="AU46" s="68">
        <v>4858.36</v>
      </c>
      <c r="AV46" s="68">
        <v>0</v>
      </c>
      <c r="AW46" s="68">
        <v>0</v>
      </c>
      <c r="AX46" s="68">
        <v>1852.93</v>
      </c>
      <c r="AY46" s="68">
        <v>236569.87</v>
      </c>
      <c r="AZ46" s="68">
        <v>9350.32</v>
      </c>
      <c r="BA46" s="68">
        <v>0</v>
      </c>
      <c r="BB46" s="68">
        <v>0</v>
      </c>
      <c r="BC46" s="68">
        <v>0</v>
      </c>
      <c r="BD46" s="68">
        <v>0</v>
      </c>
      <c r="BE46" s="68">
        <v>0</v>
      </c>
      <c r="BF46" s="68">
        <v>3167828.12</v>
      </c>
      <c r="BG46" s="68">
        <v>96949.65</v>
      </c>
      <c r="BH46" s="68">
        <v>105694.77</v>
      </c>
      <c r="BI46" s="68">
        <v>102589.36</v>
      </c>
      <c r="BJ46" s="68">
        <v>95437.68</v>
      </c>
      <c r="BK46" s="68">
        <v>76981.18</v>
      </c>
      <c r="BL46" s="68">
        <v>329569.22</v>
      </c>
      <c r="BM46" s="68">
        <v>49774.02</v>
      </c>
      <c r="BN46" s="68">
        <v>108388.23</v>
      </c>
      <c r="BO46" s="68">
        <v>60075.09</v>
      </c>
      <c r="BP46" s="68">
        <v>55588.73</v>
      </c>
      <c r="BQ46" s="68">
        <v>51118.45</v>
      </c>
      <c r="BR46" s="68">
        <v>67134.23</v>
      </c>
      <c r="BS46" s="68">
        <v>102265.64</v>
      </c>
      <c r="BT46" s="68">
        <v>84552.56</v>
      </c>
      <c r="BU46" s="68">
        <v>37197.92</v>
      </c>
      <c r="BV46" s="68">
        <v>56879.29</v>
      </c>
      <c r="BW46" s="68">
        <v>24032.67</v>
      </c>
      <c r="BX46" s="68">
        <v>78607.61</v>
      </c>
      <c r="BY46" s="68">
        <v>61648.2</v>
      </c>
      <c r="BZ46" s="68">
        <v>12921.24</v>
      </c>
      <c r="CA46" s="68">
        <v>27714.23</v>
      </c>
      <c r="CB46" s="68">
        <v>31626.51</v>
      </c>
      <c r="CC46" s="68">
        <v>37259.35</v>
      </c>
      <c r="CD46" s="68">
        <v>34229.85</v>
      </c>
      <c r="CE46" s="68">
        <v>47224.04</v>
      </c>
      <c r="CF46" s="68">
        <v>103083.56</v>
      </c>
      <c r="CG46" s="68">
        <v>33523.84</v>
      </c>
      <c r="CH46" s="68">
        <v>37909.93</v>
      </c>
      <c r="CI46" s="68">
        <v>22876.76</v>
      </c>
      <c r="CJ46" s="68">
        <v>23802.2</v>
      </c>
      <c r="CK46" s="68">
        <v>9430.88</v>
      </c>
      <c r="CL46" s="68">
        <v>45609.72</v>
      </c>
      <c r="CM46" s="68">
        <v>8041.48</v>
      </c>
      <c r="CN46" s="68">
        <v>9317.65</v>
      </c>
      <c r="CO46" s="68">
        <v>20844.94</v>
      </c>
      <c r="CP46" s="68">
        <v>152092.5</v>
      </c>
      <c r="CQ46" s="68">
        <v>170399.29</v>
      </c>
      <c r="CR46" s="68">
        <v>11932.81</v>
      </c>
      <c r="CS46" s="68">
        <v>15277.21</v>
      </c>
      <c r="CT46" s="68">
        <v>11290.57</v>
      </c>
      <c r="CU46" s="68">
        <v>13496.92</v>
      </c>
      <c r="CV46" s="68">
        <v>20846.37</v>
      </c>
      <c r="CW46" s="68">
        <v>19614.17</v>
      </c>
      <c r="CX46" s="68">
        <v>20183.4</v>
      </c>
      <c r="CY46" s="68">
        <v>21797.22</v>
      </c>
      <c r="CZ46" s="68">
        <v>22704.37</v>
      </c>
      <c r="DA46" s="68">
        <v>37737.88</v>
      </c>
      <c r="DB46" s="68">
        <v>20120.11</v>
      </c>
      <c r="DC46" s="68">
        <v>30228.37</v>
      </c>
      <c r="DD46" s="68">
        <v>16590.89</v>
      </c>
      <c r="DE46" s="68">
        <v>19215.48</v>
      </c>
      <c r="DF46" s="68">
        <v>18740.48</v>
      </c>
      <c r="DG46" s="68">
        <v>20185.4</v>
      </c>
      <c r="DH46" s="68">
        <v>24514.27</v>
      </c>
      <c r="DI46" s="68">
        <v>11600.57</v>
      </c>
      <c r="DJ46" s="68">
        <v>25395.22</v>
      </c>
      <c r="DK46" s="68">
        <v>22993.21</v>
      </c>
      <c r="DL46" s="68">
        <v>17262.35</v>
      </c>
      <c r="DM46" s="68">
        <v>16008.51</v>
      </c>
      <c r="DN46" s="68">
        <v>56953.8</v>
      </c>
      <c r="DO46" s="68">
        <v>52903.11</v>
      </c>
      <c r="DP46" s="68">
        <v>49187.31</v>
      </c>
      <c r="DQ46" s="68">
        <v>23539.08</v>
      </c>
      <c r="DR46" s="68">
        <v>22546.56</v>
      </c>
      <c r="DS46" s="68">
        <v>15438.86</v>
      </c>
      <c r="DT46" s="68">
        <v>37131.15</v>
      </c>
      <c r="DU46" s="68">
        <v>0</v>
      </c>
      <c r="DV46" s="68"/>
      <c r="DW46" s="68"/>
      <c r="DX46" s="68"/>
      <c r="DY46" s="68"/>
      <c r="DZ46" s="68"/>
      <c r="EA46" s="63">
        <v>-3167828.12</v>
      </c>
      <c r="EB46" s="63">
        <f t="shared" si="6"/>
        <v>9350.32</v>
      </c>
      <c r="EC46" s="63">
        <f t="shared" si="3"/>
        <v>6298525.09</v>
      </c>
      <c r="ED46" s="63">
        <f t="shared" si="7"/>
        <v>3787678.3</v>
      </c>
      <c r="EE46" s="63">
        <f t="shared" si="2"/>
        <v>-50216.93</v>
      </c>
      <c r="EF46" s="63">
        <f t="shared" si="4"/>
        <v>-619850.18</v>
      </c>
      <c r="EG46" s="63">
        <f t="shared" si="5"/>
        <v>4858.36</v>
      </c>
    </row>
    <row r="47" spans="1:137">
      <c r="A47" s="57" t="s">
        <v>137</v>
      </c>
      <c r="B47" s="68">
        <v>8712536.19</v>
      </c>
      <c r="C47" s="68">
        <v>0</v>
      </c>
      <c r="D47" s="68">
        <v>7640932.37</v>
      </c>
      <c r="E47" s="68">
        <v>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320046.28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115194.66</v>
      </c>
      <c r="X47" s="68">
        <v>0</v>
      </c>
      <c r="Y47" s="68">
        <v>0</v>
      </c>
      <c r="Z47" s="68">
        <v>537310.8</v>
      </c>
      <c r="AA47" s="68">
        <v>0</v>
      </c>
      <c r="AB47" s="68">
        <v>0</v>
      </c>
      <c r="AC47" s="68">
        <v>0</v>
      </c>
      <c r="AD47" s="68">
        <v>3773.64</v>
      </c>
      <c r="AE47" s="68">
        <v>95278.44</v>
      </c>
      <c r="AF47" s="68">
        <v>0</v>
      </c>
      <c r="AG47" s="68">
        <v>93762.12</v>
      </c>
      <c r="AH47" s="68">
        <v>10716.27</v>
      </c>
      <c r="AI47" s="68">
        <v>0</v>
      </c>
      <c r="AJ47" s="68">
        <v>0</v>
      </c>
      <c r="AK47" s="68">
        <v>0</v>
      </c>
      <c r="AL47" s="68">
        <v>10716.27</v>
      </c>
      <c r="AM47" s="68">
        <v>0</v>
      </c>
      <c r="AN47" s="68">
        <v>0</v>
      </c>
      <c r="AO47" s="68">
        <v>0</v>
      </c>
      <c r="AP47" s="68">
        <v>0</v>
      </c>
      <c r="AQ47" s="68">
        <v>0</v>
      </c>
      <c r="AR47" s="68">
        <v>0</v>
      </c>
      <c r="AS47" s="68">
        <v>0</v>
      </c>
      <c r="AT47" s="68">
        <v>0</v>
      </c>
      <c r="AU47" s="68">
        <v>0</v>
      </c>
      <c r="AV47" s="68">
        <v>0</v>
      </c>
      <c r="AW47" s="68">
        <v>0</v>
      </c>
      <c r="AX47" s="68">
        <v>0</v>
      </c>
      <c r="AY47" s="68">
        <v>0</v>
      </c>
      <c r="AZ47" s="68">
        <v>0</v>
      </c>
      <c r="BA47" s="68">
        <v>0</v>
      </c>
      <c r="BB47" s="68">
        <v>20000.24</v>
      </c>
      <c r="BC47" s="68">
        <v>0</v>
      </c>
      <c r="BD47" s="68">
        <v>0</v>
      </c>
      <c r="BE47" s="68">
        <v>0</v>
      </c>
      <c r="BF47" s="68">
        <v>75278.2</v>
      </c>
      <c r="BG47" s="68">
        <v>0</v>
      </c>
      <c r="BH47" s="68">
        <v>0</v>
      </c>
      <c r="BI47" s="68">
        <v>0</v>
      </c>
      <c r="BJ47" s="68">
        <v>0</v>
      </c>
      <c r="BK47" s="68">
        <v>0</v>
      </c>
      <c r="BL47" s="68">
        <v>0</v>
      </c>
      <c r="BM47" s="68">
        <v>0</v>
      </c>
      <c r="BN47" s="68">
        <v>0</v>
      </c>
      <c r="BO47" s="68">
        <v>0</v>
      </c>
      <c r="BP47" s="68">
        <v>0</v>
      </c>
      <c r="BQ47" s="68">
        <v>0</v>
      </c>
      <c r="BR47" s="68">
        <v>0</v>
      </c>
      <c r="BS47" s="68">
        <v>0</v>
      </c>
      <c r="BT47" s="68">
        <v>15277.72</v>
      </c>
      <c r="BU47" s="68">
        <v>0</v>
      </c>
      <c r="BV47" s="68">
        <v>0</v>
      </c>
      <c r="BW47" s="68">
        <v>0</v>
      </c>
      <c r="BX47" s="68">
        <v>0</v>
      </c>
      <c r="BY47" s="68">
        <v>0</v>
      </c>
      <c r="BZ47" s="68">
        <v>0</v>
      </c>
      <c r="CA47" s="68">
        <v>0</v>
      </c>
      <c r="CB47" s="68">
        <v>0</v>
      </c>
      <c r="CC47" s="68">
        <v>0</v>
      </c>
      <c r="CD47" s="68">
        <v>0</v>
      </c>
      <c r="CE47" s="68">
        <v>0</v>
      </c>
      <c r="CF47" s="68">
        <v>0</v>
      </c>
      <c r="CG47" s="68">
        <v>0</v>
      </c>
      <c r="CH47" s="68">
        <v>0</v>
      </c>
      <c r="CI47" s="68">
        <v>0</v>
      </c>
      <c r="CJ47" s="68">
        <v>60000.48</v>
      </c>
      <c r="CK47" s="68">
        <v>0</v>
      </c>
      <c r="CL47" s="68">
        <v>0</v>
      </c>
      <c r="CM47" s="68">
        <v>0</v>
      </c>
      <c r="CN47" s="68">
        <v>0</v>
      </c>
      <c r="CO47" s="68">
        <v>0</v>
      </c>
      <c r="CP47" s="68">
        <v>0</v>
      </c>
      <c r="CQ47" s="68">
        <v>0</v>
      </c>
      <c r="CR47" s="68">
        <v>0</v>
      </c>
      <c r="CS47" s="68">
        <v>0</v>
      </c>
      <c r="CT47" s="68">
        <v>0</v>
      </c>
      <c r="CU47" s="68">
        <v>0</v>
      </c>
      <c r="CV47" s="68">
        <v>0</v>
      </c>
      <c r="CW47" s="68">
        <v>0</v>
      </c>
      <c r="CX47" s="68">
        <v>0</v>
      </c>
      <c r="CY47" s="68">
        <v>0</v>
      </c>
      <c r="CZ47" s="68">
        <v>0</v>
      </c>
      <c r="DA47" s="68">
        <v>0</v>
      </c>
      <c r="DB47" s="68">
        <v>0</v>
      </c>
      <c r="DC47" s="68">
        <v>0</v>
      </c>
      <c r="DD47" s="68">
        <v>0</v>
      </c>
      <c r="DE47" s="68">
        <v>0</v>
      </c>
      <c r="DF47" s="68">
        <v>0</v>
      </c>
      <c r="DG47" s="68">
        <v>0</v>
      </c>
      <c r="DH47" s="68">
        <v>0</v>
      </c>
      <c r="DI47" s="68">
        <v>0</v>
      </c>
      <c r="DJ47" s="68">
        <v>0</v>
      </c>
      <c r="DK47" s="68">
        <v>0</v>
      </c>
      <c r="DL47" s="68">
        <v>0</v>
      </c>
      <c r="DM47" s="68">
        <v>0</v>
      </c>
      <c r="DN47" s="68">
        <v>0</v>
      </c>
      <c r="DO47" s="68">
        <v>0</v>
      </c>
      <c r="DP47" s="68">
        <v>0</v>
      </c>
      <c r="DQ47" s="68">
        <v>0</v>
      </c>
      <c r="DR47" s="68">
        <v>0</v>
      </c>
      <c r="DS47" s="68">
        <v>0</v>
      </c>
      <c r="DT47" s="68">
        <v>0</v>
      </c>
      <c r="DU47" s="68">
        <v>0</v>
      </c>
      <c r="DV47" s="68"/>
      <c r="DW47" s="68"/>
      <c r="DX47" s="68"/>
      <c r="DY47" s="68"/>
      <c r="DZ47" s="68"/>
      <c r="EA47" s="63">
        <v>-95278.4399999995</v>
      </c>
      <c r="EB47" s="63">
        <f t="shared" si="6"/>
        <v>16226.6</v>
      </c>
      <c r="EC47" s="63">
        <f t="shared" si="3"/>
        <v>150556.4</v>
      </c>
      <c r="ED47" s="63">
        <f t="shared" si="7"/>
        <v>199756.83</v>
      </c>
      <c r="EE47" s="63">
        <f t="shared" si="2"/>
        <v>-537310.8</v>
      </c>
      <c r="EF47" s="63">
        <f t="shared" si="4"/>
        <v>-104478.39</v>
      </c>
      <c r="EG47" s="63">
        <f t="shared" si="5"/>
        <v>0</v>
      </c>
    </row>
    <row r="48" spans="1:137">
      <c r="A48" s="57" t="s">
        <v>138</v>
      </c>
      <c r="B48" s="68">
        <v>8655964.52</v>
      </c>
      <c r="C48" s="68">
        <v>0</v>
      </c>
      <c r="D48" s="68">
        <v>2022062.03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68">
        <v>0</v>
      </c>
      <c r="W48" s="68">
        <v>252176.74</v>
      </c>
      <c r="X48" s="68">
        <v>18818.4</v>
      </c>
      <c r="Y48" s="68">
        <v>128495.79</v>
      </c>
      <c r="Z48" s="68">
        <v>466376.32</v>
      </c>
      <c r="AA48" s="68">
        <v>161164.03</v>
      </c>
      <c r="AB48" s="68">
        <v>38668.87</v>
      </c>
      <c r="AC48" s="68">
        <v>0</v>
      </c>
      <c r="AD48" s="68">
        <v>0</v>
      </c>
      <c r="AE48" s="68">
        <v>5568202.34</v>
      </c>
      <c r="AF48" s="68">
        <v>34820.61</v>
      </c>
      <c r="AG48" s="68">
        <v>30304.86</v>
      </c>
      <c r="AH48" s="68">
        <v>29419.51</v>
      </c>
      <c r="AI48" s="68">
        <v>64132.39</v>
      </c>
      <c r="AJ48" s="68">
        <v>39023.96</v>
      </c>
      <c r="AK48" s="68">
        <v>24059.32</v>
      </c>
      <c r="AL48" s="68">
        <v>30416.09</v>
      </c>
      <c r="AM48" s="68">
        <v>0</v>
      </c>
      <c r="AN48" s="68">
        <v>1880.04</v>
      </c>
      <c r="AO48" s="68">
        <v>16938.36</v>
      </c>
      <c r="AP48" s="68">
        <v>0</v>
      </c>
      <c r="AQ48" s="68">
        <v>0</v>
      </c>
      <c r="AR48" s="68">
        <v>0</v>
      </c>
      <c r="AS48" s="68">
        <v>0</v>
      </c>
      <c r="AT48" s="68">
        <v>0</v>
      </c>
      <c r="AU48" s="68">
        <v>80767.78</v>
      </c>
      <c r="AV48" s="68">
        <v>10663.94</v>
      </c>
      <c r="AW48" s="68">
        <v>1670.26</v>
      </c>
      <c r="AX48" s="68">
        <v>35393.81</v>
      </c>
      <c r="AY48" s="68">
        <v>161164.03</v>
      </c>
      <c r="AZ48" s="68">
        <v>0</v>
      </c>
      <c r="BA48" s="68">
        <v>77975.83</v>
      </c>
      <c r="BB48" s="68">
        <v>0</v>
      </c>
      <c r="BC48" s="68">
        <v>0</v>
      </c>
      <c r="BD48" s="68">
        <v>0</v>
      </c>
      <c r="BE48" s="68">
        <v>0</v>
      </c>
      <c r="BF48" s="68">
        <v>5490226.51</v>
      </c>
      <c r="BG48" s="68">
        <v>40320.02</v>
      </c>
      <c r="BH48" s="68">
        <v>153257.63</v>
      </c>
      <c r="BI48" s="68">
        <v>434107.99</v>
      </c>
      <c r="BJ48" s="68">
        <v>38350.08</v>
      </c>
      <c r="BK48" s="68">
        <v>36475.84</v>
      </c>
      <c r="BL48" s="68">
        <v>574949.64</v>
      </c>
      <c r="BM48" s="68">
        <v>156921.3</v>
      </c>
      <c r="BN48" s="68">
        <v>72886.33</v>
      </c>
      <c r="BO48" s="68">
        <v>152224.32</v>
      </c>
      <c r="BP48" s="68">
        <v>158256</v>
      </c>
      <c r="BQ48" s="68">
        <v>0</v>
      </c>
      <c r="BR48" s="68">
        <v>0</v>
      </c>
      <c r="BS48" s="68">
        <v>447631.16</v>
      </c>
      <c r="BT48" s="68">
        <v>104100.17</v>
      </c>
      <c r="BU48" s="68">
        <v>35540.8</v>
      </c>
      <c r="BV48" s="68">
        <v>146445.54</v>
      </c>
      <c r="BW48" s="68">
        <v>53440.3</v>
      </c>
      <c r="BX48" s="68">
        <v>87079.16</v>
      </c>
      <c r="BY48" s="68">
        <v>72400.05</v>
      </c>
      <c r="BZ48" s="68">
        <v>59262.72</v>
      </c>
      <c r="CA48" s="68">
        <v>143937.01</v>
      </c>
      <c r="CB48" s="68">
        <v>82877.28</v>
      </c>
      <c r="CC48" s="68">
        <v>81987.7</v>
      </c>
      <c r="CD48" s="68">
        <v>77287.48</v>
      </c>
      <c r="CE48" s="68">
        <v>102727.12</v>
      </c>
      <c r="CF48" s="68">
        <v>21996.26</v>
      </c>
      <c r="CG48" s="68">
        <v>52032.34</v>
      </c>
      <c r="CH48" s="68">
        <v>120193.52</v>
      </c>
      <c r="CI48" s="68">
        <v>71268.36</v>
      </c>
      <c r="CJ48" s="68">
        <v>162762.6</v>
      </c>
      <c r="CK48" s="68">
        <v>38294.4</v>
      </c>
      <c r="CL48" s="68">
        <v>128525.49</v>
      </c>
      <c r="CM48" s="68">
        <v>48558.2</v>
      </c>
      <c r="CN48" s="68">
        <v>0</v>
      </c>
      <c r="CO48" s="68">
        <v>47631.12</v>
      </c>
      <c r="CP48" s="68">
        <v>284309.29</v>
      </c>
      <c r="CQ48" s="68">
        <v>129919</v>
      </c>
      <c r="CR48" s="68">
        <v>55963.78</v>
      </c>
      <c r="CS48" s="68">
        <v>28568.64</v>
      </c>
      <c r="CT48" s="68">
        <v>0</v>
      </c>
      <c r="CU48" s="68">
        <v>68213.15</v>
      </c>
      <c r="CV48" s="68">
        <v>10400.16</v>
      </c>
      <c r="CW48" s="68">
        <v>17233.44</v>
      </c>
      <c r="CX48" s="68">
        <v>36630.43</v>
      </c>
      <c r="CY48" s="68">
        <v>11711.61</v>
      </c>
      <c r="CZ48" s="68">
        <v>16276.8</v>
      </c>
      <c r="DA48" s="68">
        <v>12434.83</v>
      </c>
      <c r="DB48" s="68">
        <v>31650.79</v>
      </c>
      <c r="DC48" s="68">
        <v>15805.15</v>
      </c>
      <c r="DD48" s="68">
        <v>0</v>
      </c>
      <c r="DE48" s="68">
        <v>65367.48</v>
      </c>
      <c r="DF48" s="68">
        <v>39990.63</v>
      </c>
      <c r="DG48" s="68">
        <v>33271.56</v>
      </c>
      <c r="DH48" s="68">
        <v>10493.88</v>
      </c>
      <c r="DI48" s="68">
        <v>0</v>
      </c>
      <c r="DJ48" s="68">
        <v>44228.41</v>
      </c>
      <c r="DK48" s="68">
        <v>55898.04</v>
      </c>
      <c r="DL48" s="68">
        <v>0</v>
      </c>
      <c r="DM48" s="68">
        <v>21083.64</v>
      </c>
      <c r="DN48" s="68">
        <v>125753.97</v>
      </c>
      <c r="DO48" s="68">
        <v>23515.42</v>
      </c>
      <c r="DP48" s="68">
        <v>65626.32</v>
      </c>
      <c r="DQ48" s="68">
        <v>184763.3</v>
      </c>
      <c r="DR48" s="68">
        <v>28281.66</v>
      </c>
      <c r="DS48" s="68">
        <v>13666.8</v>
      </c>
      <c r="DT48" s="68">
        <v>55440.4</v>
      </c>
      <c r="DU48" s="68">
        <v>0</v>
      </c>
      <c r="DV48" s="68"/>
      <c r="DW48" s="68"/>
      <c r="DX48" s="68"/>
      <c r="DY48" s="68"/>
      <c r="DZ48" s="68"/>
      <c r="EA48" s="63">
        <v>-5568202.34</v>
      </c>
      <c r="EB48" s="63">
        <f t="shared" si="6"/>
        <v>77975.83</v>
      </c>
      <c r="EC48" s="63">
        <f t="shared" si="3"/>
        <v>10925012.62</v>
      </c>
      <c r="ED48" s="63">
        <f t="shared" si="7"/>
        <v>5789962.99</v>
      </c>
      <c r="EE48" s="63">
        <f t="shared" si="2"/>
        <v>-269818.48</v>
      </c>
      <c r="EF48" s="63">
        <f t="shared" si="4"/>
        <v>-202942.25</v>
      </c>
      <c r="EG48" s="63">
        <f t="shared" si="5"/>
        <v>74283.58</v>
      </c>
    </row>
    <row r="49" spans="1:137">
      <c r="A49" s="57" t="s">
        <v>139</v>
      </c>
      <c r="B49" s="68">
        <v>1092061.93</v>
      </c>
      <c r="C49" s="68">
        <v>0</v>
      </c>
      <c r="D49" s="68">
        <v>0</v>
      </c>
      <c r="E49" s="68">
        <v>0</v>
      </c>
      <c r="F49" s="68">
        <v>10000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122641.52</v>
      </c>
      <c r="R49" s="68">
        <v>0</v>
      </c>
      <c r="S49" s="68">
        <v>0</v>
      </c>
      <c r="T49" s="68">
        <v>0</v>
      </c>
      <c r="U49" s="68">
        <v>0</v>
      </c>
      <c r="V49" s="68">
        <v>0</v>
      </c>
      <c r="W49" s="68">
        <v>186407.76</v>
      </c>
      <c r="X49" s="68">
        <v>0</v>
      </c>
      <c r="Y49" s="68">
        <v>17412.56</v>
      </c>
      <c r="Z49" s="68">
        <v>10943.4</v>
      </c>
      <c r="AA49" s="68">
        <v>10943.4</v>
      </c>
      <c r="AB49" s="68">
        <v>0</v>
      </c>
      <c r="AC49" s="68">
        <v>0</v>
      </c>
      <c r="AD49" s="68">
        <v>0</v>
      </c>
      <c r="AE49" s="68">
        <v>733713.29</v>
      </c>
      <c r="AF49" s="68">
        <v>0</v>
      </c>
      <c r="AG49" s="68">
        <v>0</v>
      </c>
      <c r="AH49" s="68">
        <v>0</v>
      </c>
      <c r="AI49" s="68">
        <v>0</v>
      </c>
      <c r="AJ49" s="68">
        <v>186407.76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8">
        <v>0</v>
      </c>
      <c r="AQ49" s="68">
        <v>0</v>
      </c>
      <c r="AR49" s="68">
        <v>0</v>
      </c>
      <c r="AS49" s="68">
        <v>0</v>
      </c>
      <c r="AT49" s="68">
        <v>0</v>
      </c>
      <c r="AU49" s="68">
        <v>0</v>
      </c>
      <c r="AV49" s="68">
        <v>13112.56</v>
      </c>
      <c r="AW49" s="68">
        <v>1100</v>
      </c>
      <c r="AX49" s="68">
        <v>3200</v>
      </c>
      <c r="AY49" s="68">
        <v>10943.4</v>
      </c>
      <c r="AZ49" s="68">
        <v>0</v>
      </c>
      <c r="BA49" s="68">
        <v>0</v>
      </c>
      <c r="BB49" s="68">
        <v>0</v>
      </c>
      <c r="BC49" s="68">
        <v>0</v>
      </c>
      <c r="BD49" s="68">
        <v>0</v>
      </c>
      <c r="BE49" s="68">
        <v>0</v>
      </c>
      <c r="BF49" s="68">
        <v>733713.29</v>
      </c>
      <c r="BG49" s="68">
        <v>4800</v>
      </c>
      <c r="BH49" s="68">
        <v>0</v>
      </c>
      <c r="BI49" s="68">
        <v>0</v>
      </c>
      <c r="BJ49" s="68">
        <v>41493.21</v>
      </c>
      <c r="BK49" s="68">
        <v>0</v>
      </c>
      <c r="BL49" s="68">
        <v>8500</v>
      </c>
      <c r="BM49" s="68">
        <v>12348</v>
      </c>
      <c r="BN49" s="68">
        <v>67035.04</v>
      </c>
      <c r="BO49" s="68">
        <v>0</v>
      </c>
      <c r="BP49" s="68">
        <v>6495</v>
      </c>
      <c r="BQ49" s="68">
        <v>0</v>
      </c>
      <c r="BR49" s="68">
        <v>0</v>
      </c>
      <c r="BS49" s="68">
        <v>0</v>
      </c>
      <c r="BT49" s="68">
        <v>19600</v>
      </c>
      <c r="BU49" s="68">
        <v>16334.68</v>
      </c>
      <c r="BV49" s="68">
        <v>0</v>
      </c>
      <c r="BW49" s="68">
        <v>48664</v>
      </c>
      <c r="BX49" s="68">
        <v>0</v>
      </c>
      <c r="BY49" s="68">
        <v>0</v>
      </c>
      <c r="BZ49" s="68">
        <v>0</v>
      </c>
      <c r="CA49" s="68">
        <v>0</v>
      </c>
      <c r="CB49" s="68">
        <v>0</v>
      </c>
      <c r="CC49" s="68">
        <v>18603.32</v>
      </c>
      <c r="CD49" s="68">
        <v>0</v>
      </c>
      <c r="CE49" s="68">
        <v>0</v>
      </c>
      <c r="CF49" s="68">
        <v>0</v>
      </c>
      <c r="CG49" s="68">
        <v>0</v>
      </c>
      <c r="CH49" s="68">
        <v>22800</v>
      </c>
      <c r="CI49" s="68">
        <v>0</v>
      </c>
      <c r="CJ49" s="68">
        <v>0</v>
      </c>
      <c r="CK49" s="68">
        <v>0</v>
      </c>
      <c r="CL49" s="68">
        <v>14228.57</v>
      </c>
      <c r="CM49" s="68">
        <v>1800</v>
      </c>
      <c r="CN49" s="68">
        <v>9600</v>
      </c>
      <c r="CO49" s="68">
        <v>4439</v>
      </c>
      <c r="CP49" s="68">
        <v>4000</v>
      </c>
      <c r="CQ49" s="68">
        <v>5471.69</v>
      </c>
      <c r="CR49" s="68">
        <v>0</v>
      </c>
      <c r="CS49" s="68">
        <v>21600</v>
      </c>
      <c r="CT49" s="68">
        <v>21600</v>
      </c>
      <c r="CU49" s="68">
        <v>11352.92</v>
      </c>
      <c r="CV49" s="68">
        <v>21600</v>
      </c>
      <c r="CW49" s="68">
        <v>46452</v>
      </c>
      <c r="CX49" s="68">
        <v>21600</v>
      </c>
      <c r="CY49" s="68">
        <v>3600</v>
      </c>
      <c r="CZ49" s="68">
        <v>21036.28</v>
      </c>
      <c r="DA49" s="68">
        <v>21600</v>
      </c>
      <c r="DB49" s="68">
        <v>19800</v>
      </c>
      <c r="DC49" s="68">
        <v>21600</v>
      </c>
      <c r="DD49" s="68">
        <v>21600</v>
      </c>
      <c r="DE49" s="68">
        <v>21600</v>
      </c>
      <c r="DF49" s="68">
        <v>21600</v>
      </c>
      <c r="DG49" s="68">
        <v>24648.26</v>
      </c>
      <c r="DH49" s="68">
        <v>21600</v>
      </c>
      <c r="DI49" s="68">
        <v>21600</v>
      </c>
      <c r="DJ49" s="68">
        <v>0</v>
      </c>
      <c r="DK49" s="68">
        <v>0</v>
      </c>
      <c r="DL49" s="68">
        <v>21600</v>
      </c>
      <c r="DM49" s="68">
        <v>21600</v>
      </c>
      <c r="DN49" s="68">
        <v>0</v>
      </c>
      <c r="DO49" s="68">
        <v>0</v>
      </c>
      <c r="DP49" s="68">
        <v>0</v>
      </c>
      <c r="DQ49" s="68">
        <v>0</v>
      </c>
      <c r="DR49" s="68">
        <v>0</v>
      </c>
      <c r="DS49" s="68">
        <v>0</v>
      </c>
      <c r="DT49" s="68">
        <v>19811.32</v>
      </c>
      <c r="DU49" s="68">
        <v>0</v>
      </c>
      <c r="DV49" s="68"/>
      <c r="DW49" s="68"/>
      <c r="DX49" s="68"/>
      <c r="DY49" s="68"/>
      <c r="DZ49" s="68"/>
      <c r="EA49" s="63">
        <v>-733713.29</v>
      </c>
      <c r="EB49" s="63">
        <f t="shared" si="6"/>
        <v>0</v>
      </c>
      <c r="EC49" s="63">
        <f t="shared" si="3"/>
        <v>1447615.26</v>
      </c>
      <c r="ED49" s="63">
        <f t="shared" si="7"/>
        <v>920121.05</v>
      </c>
      <c r="EE49" s="63">
        <f t="shared" si="2"/>
        <v>3200</v>
      </c>
      <c r="EF49" s="63">
        <f t="shared" si="4"/>
        <v>-186407.76</v>
      </c>
      <c r="EG49" s="63">
        <f t="shared" si="5"/>
        <v>14212.56</v>
      </c>
    </row>
    <row r="50" s="242" customFormat="1" spans="1:137">
      <c r="A50" s="246" t="s">
        <v>102</v>
      </c>
      <c r="B50" s="68">
        <v>113605128.06</v>
      </c>
      <c r="C50" s="68">
        <v>58189.63</v>
      </c>
      <c r="D50" s="68">
        <v>23945145.09</v>
      </c>
      <c r="E50" s="68">
        <v>322175.18</v>
      </c>
      <c r="F50" s="68">
        <v>5050045.79</v>
      </c>
      <c r="G50" s="68">
        <v>1713365.53</v>
      </c>
      <c r="H50" s="68">
        <v>18247.2</v>
      </c>
      <c r="I50" s="68">
        <v>189036</v>
      </c>
      <c r="J50" s="68">
        <v>0</v>
      </c>
      <c r="K50" s="68">
        <v>15621.96</v>
      </c>
      <c r="L50" s="68">
        <v>158267.49</v>
      </c>
      <c r="M50" s="68">
        <v>180554.61</v>
      </c>
      <c r="N50" s="68">
        <v>205352.38</v>
      </c>
      <c r="O50" s="68">
        <v>98334.62</v>
      </c>
      <c r="P50" s="68">
        <v>120701.31</v>
      </c>
      <c r="Q50" s="68">
        <v>11451918.08</v>
      </c>
      <c r="R50" s="68">
        <v>155124.89</v>
      </c>
      <c r="S50" s="68">
        <v>7658.83</v>
      </c>
      <c r="T50" s="68">
        <v>0</v>
      </c>
      <c r="U50" s="68">
        <v>0</v>
      </c>
      <c r="V50" s="68">
        <v>0</v>
      </c>
      <c r="W50" s="68">
        <v>10638301.95</v>
      </c>
      <c r="X50" s="68">
        <v>1649342.94</v>
      </c>
      <c r="Y50" s="68">
        <v>1506612.04</v>
      </c>
      <c r="Z50" s="68">
        <v>3112899.61</v>
      </c>
      <c r="AA50" s="68">
        <v>715953.51</v>
      </c>
      <c r="AB50" s="68">
        <v>140880.38</v>
      </c>
      <c r="AC50" s="68">
        <v>0</v>
      </c>
      <c r="AD50" s="68">
        <v>402322.2</v>
      </c>
      <c r="AE50" s="68">
        <v>51749076.84</v>
      </c>
      <c r="AF50" s="68">
        <v>7214671.84</v>
      </c>
      <c r="AG50" s="68">
        <v>602817.72</v>
      </c>
      <c r="AH50" s="68">
        <v>613074.74</v>
      </c>
      <c r="AI50" s="68">
        <v>585853.58</v>
      </c>
      <c r="AJ50" s="68">
        <v>755033.08</v>
      </c>
      <c r="AK50" s="68">
        <v>406529.78</v>
      </c>
      <c r="AL50" s="68">
        <v>460321.21</v>
      </c>
      <c r="AM50" s="68">
        <v>192589.35</v>
      </c>
      <c r="AN50" s="68">
        <v>999498.82</v>
      </c>
      <c r="AO50" s="68">
        <v>352993.59</v>
      </c>
      <c r="AP50" s="68">
        <v>71877.56</v>
      </c>
      <c r="AQ50" s="68">
        <v>25153.2</v>
      </c>
      <c r="AR50" s="68">
        <v>5974.42</v>
      </c>
      <c r="AS50" s="68">
        <v>1256</v>
      </c>
      <c r="AT50" s="68">
        <v>0</v>
      </c>
      <c r="AU50" s="68">
        <v>870245.26</v>
      </c>
      <c r="AV50" s="68">
        <v>102510.82</v>
      </c>
      <c r="AW50" s="68">
        <v>140906.48</v>
      </c>
      <c r="AX50" s="68">
        <v>392949.48</v>
      </c>
      <c r="AY50" s="68">
        <v>702477.28</v>
      </c>
      <c r="AZ50" s="68">
        <v>13476.23</v>
      </c>
      <c r="BA50" s="68">
        <v>906181.75</v>
      </c>
      <c r="BB50" s="68">
        <v>101255.84</v>
      </c>
      <c r="BC50" s="68">
        <v>47678.38</v>
      </c>
      <c r="BD50" s="68">
        <v>677405.58</v>
      </c>
      <c r="BE50" s="68">
        <v>0</v>
      </c>
      <c r="BF50" s="68">
        <v>50016555.29</v>
      </c>
      <c r="BG50" s="68">
        <v>1479502.35</v>
      </c>
      <c r="BH50" s="68">
        <v>1943846.1</v>
      </c>
      <c r="BI50" s="68">
        <v>1975611.62</v>
      </c>
      <c r="BJ50" s="68">
        <v>1381305.95</v>
      </c>
      <c r="BK50" s="68">
        <v>1870891.17</v>
      </c>
      <c r="BL50" s="68">
        <v>2113437.29</v>
      </c>
      <c r="BM50" s="68">
        <v>713217.44</v>
      </c>
      <c r="BN50" s="68">
        <v>1599155.95</v>
      </c>
      <c r="BO50" s="68">
        <v>1780845.07</v>
      </c>
      <c r="BP50" s="68">
        <v>1776356.52</v>
      </c>
      <c r="BQ50" s="68">
        <v>2979041.53</v>
      </c>
      <c r="BR50" s="68">
        <v>1731003.21</v>
      </c>
      <c r="BS50" s="68">
        <v>3000723.31</v>
      </c>
      <c r="BT50" s="68">
        <v>1954308.14</v>
      </c>
      <c r="BU50" s="68">
        <v>998998.59</v>
      </c>
      <c r="BV50" s="68">
        <v>568716.99</v>
      </c>
      <c r="BW50" s="68">
        <v>733780.99</v>
      </c>
      <c r="BX50" s="68">
        <v>952757.96</v>
      </c>
      <c r="BY50" s="68">
        <v>698551.25</v>
      </c>
      <c r="BZ50" s="68">
        <v>570292.2</v>
      </c>
      <c r="CA50" s="68">
        <v>654488.02</v>
      </c>
      <c r="CB50" s="68">
        <v>917903.28</v>
      </c>
      <c r="CC50" s="68">
        <v>592406</v>
      </c>
      <c r="CD50" s="68">
        <v>354600.06</v>
      </c>
      <c r="CE50" s="68">
        <v>394047.29</v>
      </c>
      <c r="CF50" s="68">
        <v>358857.33</v>
      </c>
      <c r="CG50" s="68">
        <v>277051.96</v>
      </c>
      <c r="CH50" s="68">
        <v>520876.91</v>
      </c>
      <c r="CI50" s="68">
        <v>344471.32</v>
      </c>
      <c r="CJ50" s="68">
        <v>878773.54</v>
      </c>
      <c r="CK50" s="68">
        <v>162609.93</v>
      </c>
      <c r="CL50" s="68">
        <v>620442.2</v>
      </c>
      <c r="CM50" s="68">
        <v>138146.86</v>
      </c>
      <c r="CN50" s="68">
        <v>176901.65</v>
      </c>
      <c r="CO50" s="68">
        <v>255330.05</v>
      </c>
      <c r="CP50" s="68">
        <v>1725021.73</v>
      </c>
      <c r="CQ50" s="68">
        <v>795676.2</v>
      </c>
      <c r="CR50" s="68">
        <v>461952.97</v>
      </c>
      <c r="CS50" s="68">
        <v>240016.79</v>
      </c>
      <c r="CT50" s="68">
        <v>371951.54</v>
      </c>
      <c r="CU50" s="68">
        <v>273742.79</v>
      </c>
      <c r="CV50" s="68">
        <v>195565.29</v>
      </c>
      <c r="CW50" s="68">
        <v>322038.71</v>
      </c>
      <c r="CX50" s="68">
        <v>180166.23</v>
      </c>
      <c r="CY50" s="68">
        <v>188640.44</v>
      </c>
      <c r="CZ50" s="68">
        <v>228399</v>
      </c>
      <c r="DA50" s="68">
        <v>307570.64</v>
      </c>
      <c r="DB50" s="68">
        <v>262057.8</v>
      </c>
      <c r="DC50" s="68">
        <v>259338.44</v>
      </c>
      <c r="DD50" s="68">
        <v>201649.7</v>
      </c>
      <c r="DE50" s="68">
        <v>243785.5</v>
      </c>
      <c r="DF50" s="68">
        <v>253074.73</v>
      </c>
      <c r="DG50" s="68">
        <v>218022.24</v>
      </c>
      <c r="DH50" s="68">
        <v>226815.68</v>
      </c>
      <c r="DI50" s="68">
        <v>239127.78</v>
      </c>
      <c r="DJ50" s="68">
        <v>299647.4</v>
      </c>
      <c r="DK50" s="68">
        <v>182763.44</v>
      </c>
      <c r="DL50" s="68">
        <v>226036.2</v>
      </c>
      <c r="DM50" s="68">
        <v>248898.16</v>
      </c>
      <c r="DN50" s="68">
        <v>759149.77</v>
      </c>
      <c r="DO50" s="68">
        <v>1337108.1</v>
      </c>
      <c r="DP50" s="68">
        <v>442580.3</v>
      </c>
      <c r="DQ50" s="68">
        <v>799572.42</v>
      </c>
      <c r="DR50" s="68">
        <v>185054.42</v>
      </c>
      <c r="DS50" s="68">
        <v>575396.66</v>
      </c>
      <c r="DT50" s="68">
        <v>296484.19</v>
      </c>
      <c r="DU50" s="68">
        <v>0</v>
      </c>
      <c r="DV50" s="251"/>
      <c r="DW50" s="251"/>
      <c r="DX50" s="251"/>
      <c r="DY50" s="251"/>
      <c r="DZ50" s="251"/>
      <c r="EA50" s="242">
        <v>-51749076.84</v>
      </c>
      <c r="EB50" s="242">
        <f t="shared" si="6"/>
        <v>1343675.58</v>
      </c>
      <c r="EC50" s="242">
        <f t="shared" si="3"/>
        <v>99736626.39</v>
      </c>
      <c r="ED50" s="242">
        <f t="shared" si="7"/>
        <v>61927057.58</v>
      </c>
      <c r="EE50" s="242">
        <f t="shared" si="2"/>
        <v>-2017472.85</v>
      </c>
      <c r="EF50" s="63">
        <f t="shared" si="4"/>
        <v>-8528637.8</v>
      </c>
      <c r="EG50" s="63">
        <f t="shared" si="5"/>
        <v>-535680.38</v>
      </c>
    </row>
    <row r="51" s="243" customFormat="1" ht="12.75" spans="1:137">
      <c r="A51" s="247" t="s">
        <v>290</v>
      </c>
      <c r="B51" s="68">
        <v>0</v>
      </c>
      <c r="C51" s="68">
        <v>0</v>
      </c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68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8">
        <v>0</v>
      </c>
      <c r="AQ51" s="68">
        <v>0</v>
      </c>
      <c r="AR51" s="68">
        <v>0</v>
      </c>
      <c r="AS51" s="68">
        <v>0</v>
      </c>
      <c r="AT51" s="68">
        <v>0</v>
      </c>
      <c r="AU51" s="68">
        <v>0</v>
      </c>
      <c r="AV51" s="68">
        <v>0</v>
      </c>
      <c r="AW51" s="68">
        <v>0</v>
      </c>
      <c r="AX51" s="68">
        <v>0</v>
      </c>
      <c r="AY51" s="68">
        <v>0</v>
      </c>
      <c r="AZ51" s="68">
        <v>0</v>
      </c>
      <c r="BA51" s="68">
        <v>0</v>
      </c>
      <c r="BB51" s="68">
        <v>0</v>
      </c>
      <c r="BC51" s="68">
        <v>0</v>
      </c>
      <c r="BD51" s="68">
        <v>0</v>
      </c>
      <c r="BE51" s="68"/>
      <c r="BF51" s="68">
        <v>0</v>
      </c>
      <c r="BG51" s="68">
        <v>0</v>
      </c>
      <c r="BH51" s="68">
        <v>0</v>
      </c>
      <c r="BI51" s="68">
        <v>0</v>
      </c>
      <c r="BJ51" s="68">
        <v>0</v>
      </c>
      <c r="BK51" s="68">
        <v>0</v>
      </c>
      <c r="BL51" s="68">
        <v>0</v>
      </c>
      <c r="BM51" s="68">
        <v>0</v>
      </c>
      <c r="BN51" s="68">
        <v>0</v>
      </c>
      <c r="BO51" s="68">
        <v>0</v>
      </c>
      <c r="BP51" s="68">
        <v>0</v>
      </c>
      <c r="BQ51" s="68">
        <v>0</v>
      </c>
      <c r="BR51" s="68">
        <v>0</v>
      </c>
      <c r="BS51" s="68">
        <v>0</v>
      </c>
      <c r="BT51" s="68">
        <v>0</v>
      </c>
      <c r="BU51" s="68">
        <v>0</v>
      </c>
      <c r="BV51" s="68">
        <v>0</v>
      </c>
      <c r="BW51" s="68">
        <v>0</v>
      </c>
      <c r="BX51" s="68">
        <v>0</v>
      </c>
      <c r="BY51" s="68">
        <v>0</v>
      </c>
      <c r="BZ51" s="68">
        <v>0</v>
      </c>
      <c r="CA51" s="68">
        <v>0</v>
      </c>
      <c r="CB51" s="68">
        <v>0</v>
      </c>
      <c r="CC51" s="68">
        <v>0</v>
      </c>
      <c r="CD51" s="68">
        <v>0</v>
      </c>
      <c r="CE51" s="68">
        <v>0</v>
      </c>
      <c r="CF51" s="68">
        <v>0</v>
      </c>
      <c r="CG51" s="68">
        <v>0</v>
      </c>
      <c r="CH51" s="68">
        <v>0</v>
      </c>
      <c r="CI51" s="68">
        <v>0</v>
      </c>
      <c r="CJ51" s="68">
        <v>0</v>
      </c>
      <c r="CK51" s="68">
        <v>0</v>
      </c>
      <c r="CL51" s="68">
        <v>0</v>
      </c>
      <c r="CM51" s="68">
        <v>0</v>
      </c>
      <c r="CN51" s="68">
        <v>0</v>
      </c>
      <c r="CO51" s="68">
        <v>0</v>
      </c>
      <c r="CP51" s="68">
        <v>0</v>
      </c>
      <c r="CQ51" s="68">
        <v>0</v>
      </c>
      <c r="CR51" s="68">
        <v>0</v>
      </c>
      <c r="CS51" s="68">
        <v>0</v>
      </c>
      <c r="CT51" s="68">
        <v>0</v>
      </c>
      <c r="CU51" s="68">
        <v>0</v>
      </c>
      <c r="CV51" s="68">
        <v>0</v>
      </c>
      <c r="CW51" s="68">
        <v>0</v>
      </c>
      <c r="CX51" s="68">
        <v>0</v>
      </c>
      <c r="CY51" s="68">
        <v>0</v>
      </c>
      <c r="CZ51" s="68">
        <v>0</v>
      </c>
      <c r="DA51" s="68">
        <v>0</v>
      </c>
      <c r="DB51" s="68">
        <v>0</v>
      </c>
      <c r="DC51" s="68">
        <v>0</v>
      </c>
      <c r="DD51" s="68">
        <v>0</v>
      </c>
      <c r="DE51" s="68">
        <v>0</v>
      </c>
      <c r="DF51" s="68">
        <v>0</v>
      </c>
      <c r="DG51" s="68">
        <v>0</v>
      </c>
      <c r="DH51" s="68">
        <v>0</v>
      </c>
      <c r="DI51" s="68">
        <v>0</v>
      </c>
      <c r="DJ51" s="68">
        <v>0</v>
      </c>
      <c r="DK51" s="68">
        <v>0</v>
      </c>
      <c r="DL51" s="68">
        <v>0</v>
      </c>
      <c r="DM51" s="68">
        <v>0</v>
      </c>
      <c r="DN51" s="68">
        <v>0</v>
      </c>
      <c r="DO51" s="68">
        <v>0</v>
      </c>
      <c r="DP51" s="68">
        <v>0</v>
      </c>
      <c r="DQ51" s="68">
        <v>0</v>
      </c>
      <c r="DR51" s="68">
        <v>0</v>
      </c>
      <c r="DS51" s="68">
        <v>0</v>
      </c>
      <c r="DT51" s="68">
        <v>0</v>
      </c>
      <c r="DU51" s="68">
        <v>0</v>
      </c>
      <c r="DV51" s="68"/>
      <c r="DW51" s="68"/>
      <c r="DX51" s="68"/>
      <c r="DY51" s="253"/>
      <c r="DZ51" s="253"/>
      <c r="EA51" s="63">
        <v>0</v>
      </c>
      <c r="EB51" s="63">
        <f t="shared" si="6"/>
        <v>0</v>
      </c>
      <c r="EC51" s="63">
        <f t="shared" si="3"/>
        <v>0</v>
      </c>
      <c r="ED51" s="63">
        <f t="shared" si="7"/>
        <v>0</v>
      </c>
      <c r="EE51" s="63">
        <f t="shared" si="2"/>
        <v>0</v>
      </c>
      <c r="EF51" s="63">
        <f t="shared" si="4"/>
        <v>0</v>
      </c>
      <c r="EG51" s="63">
        <f t="shared" si="5"/>
        <v>0</v>
      </c>
    </row>
    <row r="52" s="244" customFormat="1" ht="12.75" spans="1:137">
      <c r="A52" s="248" t="s">
        <v>4</v>
      </c>
      <c r="B52" s="68">
        <v>729418188.97</v>
      </c>
      <c r="C52" s="68">
        <v>16759589.9</v>
      </c>
      <c r="D52" s="68">
        <v>46657775.49</v>
      </c>
      <c r="E52" s="68">
        <v>4955137.49</v>
      </c>
      <c r="F52" s="68">
        <v>15746053.21</v>
      </c>
      <c r="G52" s="68">
        <v>8083897.97</v>
      </c>
      <c r="H52" s="68">
        <v>2350451.91</v>
      </c>
      <c r="I52" s="68">
        <v>4162331.32</v>
      </c>
      <c r="J52" s="68">
        <v>0</v>
      </c>
      <c r="K52" s="68">
        <v>772594</v>
      </c>
      <c r="L52" s="68">
        <v>2765123.59</v>
      </c>
      <c r="M52" s="68">
        <v>4386357.47</v>
      </c>
      <c r="N52" s="68">
        <v>3892565.71</v>
      </c>
      <c r="O52" s="68">
        <v>6670208.07</v>
      </c>
      <c r="P52" s="68">
        <v>5440462.01</v>
      </c>
      <c r="Q52" s="68">
        <v>23892690.77</v>
      </c>
      <c r="R52" s="68">
        <v>1954334.72</v>
      </c>
      <c r="S52" s="68">
        <v>806792.42</v>
      </c>
      <c r="T52" s="68">
        <v>38743</v>
      </c>
      <c r="U52" s="68">
        <v>2813</v>
      </c>
      <c r="V52" s="68">
        <v>63161.8</v>
      </c>
      <c r="W52" s="68">
        <v>36562935.17</v>
      </c>
      <c r="X52" s="68">
        <v>151087906.57</v>
      </c>
      <c r="Y52" s="68">
        <v>21311760.31</v>
      </c>
      <c r="Z52" s="68">
        <v>16113970.92</v>
      </c>
      <c r="AA52" s="68">
        <v>5665544.96</v>
      </c>
      <c r="AB52" s="68">
        <v>2916834.51</v>
      </c>
      <c r="AC52" s="68">
        <v>0</v>
      </c>
      <c r="AD52" s="68">
        <v>8379737.39</v>
      </c>
      <c r="AE52" s="68">
        <v>337978415.29</v>
      </c>
      <c r="AF52" s="68">
        <v>10570800.16</v>
      </c>
      <c r="AG52" s="68">
        <v>3313436.16</v>
      </c>
      <c r="AH52" s="68">
        <v>4257451.63</v>
      </c>
      <c r="AI52" s="68">
        <v>7504979.22</v>
      </c>
      <c r="AJ52" s="68">
        <v>3950035.15</v>
      </c>
      <c r="AK52" s="68">
        <v>5114568.86</v>
      </c>
      <c r="AL52" s="68">
        <v>1851663.99</v>
      </c>
      <c r="AM52" s="68">
        <v>6135485.94</v>
      </c>
      <c r="AN52" s="68">
        <v>100693210</v>
      </c>
      <c r="AO52" s="68">
        <v>26600668.57</v>
      </c>
      <c r="AP52" s="68">
        <v>11216184.7</v>
      </c>
      <c r="AQ52" s="68">
        <v>3429346.88</v>
      </c>
      <c r="AR52" s="68">
        <v>2387232.37</v>
      </c>
      <c r="AS52" s="68">
        <v>625778.11</v>
      </c>
      <c r="AT52" s="68">
        <v>0</v>
      </c>
      <c r="AU52" s="68">
        <v>6712157.07</v>
      </c>
      <c r="AV52" s="68">
        <v>7707765.86</v>
      </c>
      <c r="AW52" s="68">
        <v>3860633.11</v>
      </c>
      <c r="AX52" s="68">
        <v>3031204.27</v>
      </c>
      <c r="AY52" s="68">
        <v>4438062.87</v>
      </c>
      <c r="AZ52" s="68">
        <v>1227482.09</v>
      </c>
      <c r="BA52" s="68">
        <v>68077750.48</v>
      </c>
      <c r="BB52" s="68">
        <v>6410892.38</v>
      </c>
      <c r="BC52" s="68">
        <v>11333716.18</v>
      </c>
      <c r="BD52" s="68">
        <v>5386851.03</v>
      </c>
      <c r="BE52" s="68">
        <v>0</v>
      </c>
      <c r="BF52" s="68">
        <v>246769205.22</v>
      </c>
      <c r="BG52" s="68">
        <v>9834171.53</v>
      </c>
      <c r="BH52" s="68">
        <v>11401088.93</v>
      </c>
      <c r="BI52" s="68">
        <v>12105917.2</v>
      </c>
      <c r="BJ52" s="68">
        <v>10408385.93</v>
      </c>
      <c r="BK52" s="68">
        <v>10256531.02</v>
      </c>
      <c r="BL52" s="68">
        <v>10231601.69</v>
      </c>
      <c r="BM52" s="68">
        <v>4209431.58</v>
      </c>
      <c r="BN52" s="68">
        <v>10875828.81</v>
      </c>
      <c r="BO52" s="68">
        <v>5522434.97</v>
      </c>
      <c r="BP52" s="68">
        <v>4889823.89</v>
      </c>
      <c r="BQ52" s="68">
        <v>12313420.22</v>
      </c>
      <c r="BR52" s="68">
        <v>10032824.78</v>
      </c>
      <c r="BS52" s="68">
        <v>9737658.24</v>
      </c>
      <c r="BT52" s="68">
        <v>6208607.36</v>
      </c>
      <c r="BU52" s="68">
        <v>4261832.22</v>
      </c>
      <c r="BV52" s="68">
        <v>4091331.92</v>
      </c>
      <c r="BW52" s="68">
        <v>4603144.06</v>
      </c>
      <c r="BX52" s="68">
        <v>5557011.64</v>
      </c>
      <c r="BY52" s="68">
        <v>3183568.13</v>
      </c>
      <c r="BZ52" s="68">
        <v>3361454.66</v>
      </c>
      <c r="CA52" s="68">
        <v>4002789.33</v>
      </c>
      <c r="CB52" s="68">
        <v>5141024.39</v>
      </c>
      <c r="CC52" s="68">
        <v>2190076.19</v>
      </c>
      <c r="CD52" s="68">
        <v>2200629.22</v>
      </c>
      <c r="CE52" s="68">
        <v>1799585.68</v>
      </c>
      <c r="CF52" s="68">
        <v>2659481.25</v>
      </c>
      <c r="CG52" s="68">
        <v>2025151.67</v>
      </c>
      <c r="CH52" s="68">
        <v>3155798.01</v>
      </c>
      <c r="CI52" s="68">
        <v>2220834.29</v>
      </c>
      <c r="CJ52" s="68">
        <v>4973396.46</v>
      </c>
      <c r="CK52" s="68">
        <v>953474.48</v>
      </c>
      <c r="CL52" s="68">
        <v>2129698.44</v>
      </c>
      <c r="CM52" s="68">
        <v>1005741.73</v>
      </c>
      <c r="CN52" s="68">
        <v>1381597.96</v>
      </c>
      <c r="CO52" s="68">
        <v>1610239.17</v>
      </c>
      <c r="CP52" s="68">
        <v>5394191.74</v>
      </c>
      <c r="CQ52" s="68">
        <v>7905147.99</v>
      </c>
      <c r="CR52" s="68">
        <v>1477362.53</v>
      </c>
      <c r="CS52" s="68">
        <v>1035954.65</v>
      </c>
      <c r="CT52" s="68">
        <v>1352028.44</v>
      </c>
      <c r="CU52" s="68">
        <v>1167590.64</v>
      </c>
      <c r="CV52" s="68">
        <v>1521122.28</v>
      </c>
      <c r="CW52" s="68">
        <v>2291996</v>
      </c>
      <c r="CX52" s="68">
        <v>1183905.8</v>
      </c>
      <c r="CY52" s="68">
        <v>1582813.41</v>
      </c>
      <c r="CZ52" s="68">
        <v>1227962.72</v>
      </c>
      <c r="DA52" s="68">
        <v>1450608.76</v>
      </c>
      <c r="DB52" s="68">
        <v>1155959.71</v>
      </c>
      <c r="DC52" s="68">
        <v>1451513.97</v>
      </c>
      <c r="DD52" s="68">
        <v>1150902.75</v>
      </c>
      <c r="DE52" s="68">
        <v>1415578.4</v>
      </c>
      <c r="DF52" s="68">
        <v>1170169.26</v>
      </c>
      <c r="DG52" s="68">
        <v>1072525.13</v>
      </c>
      <c r="DH52" s="68">
        <v>1126872.12</v>
      </c>
      <c r="DI52" s="68">
        <v>819235.7</v>
      </c>
      <c r="DJ52" s="68">
        <v>968070.64</v>
      </c>
      <c r="DK52" s="68">
        <v>1463161.27</v>
      </c>
      <c r="DL52" s="68">
        <v>1002295.48</v>
      </c>
      <c r="DM52" s="68">
        <v>1214022.14</v>
      </c>
      <c r="DN52" s="68">
        <v>2176849.7</v>
      </c>
      <c r="DO52" s="68">
        <v>4228089.66</v>
      </c>
      <c r="DP52" s="68">
        <v>2089882.36</v>
      </c>
      <c r="DQ52" s="68">
        <v>1783598.65</v>
      </c>
      <c r="DR52" s="68">
        <v>832823.66</v>
      </c>
      <c r="DS52" s="68">
        <v>2340289.02</v>
      </c>
      <c r="DT52" s="68">
        <v>1181093.59</v>
      </c>
      <c r="DU52" s="68">
        <v>0</v>
      </c>
      <c r="DV52" s="251"/>
      <c r="DW52" s="251"/>
      <c r="DX52" s="251"/>
      <c r="DY52" s="254"/>
      <c r="DZ52" s="254"/>
      <c r="EA52" s="242">
        <v>-337978415.29</v>
      </c>
      <c r="EB52" s="242">
        <f t="shared" si="6"/>
        <v>84056954.77</v>
      </c>
      <c r="EC52" s="242">
        <f t="shared" si="3"/>
        <v>492357316.85</v>
      </c>
      <c r="ED52" s="242">
        <f t="shared" si="7"/>
        <v>372626524.67</v>
      </c>
      <c r="EE52" s="242">
        <f t="shared" si="2"/>
        <v>-8644703.78</v>
      </c>
      <c r="EF52" s="63">
        <f t="shared" si="4"/>
        <v>116376635.39</v>
      </c>
      <c r="EG52" s="63">
        <f t="shared" si="5"/>
        <v>-132807350.53</v>
      </c>
    </row>
    <row r="53" spans="31:122">
      <c r="AE53" s="249"/>
      <c r="AF53" s="249"/>
      <c r="AG53" s="249"/>
      <c r="AH53" s="249"/>
      <c r="AI53" s="249"/>
      <c r="AJ53" s="249"/>
      <c r="AK53" s="250"/>
      <c r="DQ53" s="68"/>
      <c r="DR53" s="68"/>
    </row>
    <row r="54" spans="31:137">
      <c r="AE54" s="68"/>
      <c r="AF54" s="68"/>
      <c r="AG54" s="68"/>
      <c r="AH54" s="68"/>
      <c r="AI54" s="68"/>
      <c r="AJ54" s="68"/>
      <c r="AK54" s="250"/>
      <c r="EF54" s="63">
        <f>SUM(AL54:AS54)-W54</f>
        <v>0</v>
      </c>
      <c r="EG54" s="63">
        <f t="shared" si="5"/>
        <v>0</v>
      </c>
    </row>
    <row r="55" spans="90:91">
      <c r="CL55" s="63" t="s">
        <v>216</v>
      </c>
      <c r="CM55" s="63">
        <v>-14.45</v>
      </c>
    </row>
    <row r="56" spans="90:91">
      <c r="CL56" s="63" t="s">
        <v>217</v>
      </c>
      <c r="CM56" s="63">
        <v>-111.51</v>
      </c>
    </row>
    <row r="57" spans="90:91">
      <c r="CL57" s="63" t="s">
        <v>218</v>
      </c>
      <c r="CM57" s="63">
        <v>-164.79</v>
      </c>
    </row>
    <row r="58" spans="90:91">
      <c r="CL58" s="63" t="s">
        <v>219</v>
      </c>
      <c r="CM58" s="63">
        <v>-188.99</v>
      </c>
    </row>
    <row r="59" spans="90:91">
      <c r="CL59" s="63" t="s">
        <v>220</v>
      </c>
      <c r="CM59" s="63">
        <v>-423.349999999999</v>
      </c>
    </row>
    <row r="60" spans="90:91">
      <c r="CL60" s="63" t="s">
        <v>221</v>
      </c>
      <c r="CM60" s="63">
        <v>-209.12</v>
      </c>
    </row>
    <row r="61" spans="90:91">
      <c r="CL61" s="63" t="s">
        <v>222</v>
      </c>
      <c r="CM61" s="63">
        <v>-343.599999999999</v>
      </c>
    </row>
    <row r="62" spans="90:91">
      <c r="CL62" s="63" t="s">
        <v>223</v>
      </c>
      <c r="CM62" s="63">
        <v>-28.2</v>
      </c>
    </row>
    <row r="63" spans="90:91">
      <c r="CL63" s="63" t="s">
        <v>224</v>
      </c>
      <c r="CM63" s="63">
        <v>-34.95</v>
      </c>
    </row>
    <row r="64" spans="90:91">
      <c r="CL64" s="63" t="s">
        <v>225</v>
      </c>
      <c r="CM64" s="63">
        <v>-169.84</v>
      </c>
    </row>
    <row r="65" spans="90:91">
      <c r="CL65" s="63" t="s">
        <v>226</v>
      </c>
      <c r="CM65" s="63">
        <v>-38.37</v>
      </c>
    </row>
    <row r="66" spans="90:91">
      <c r="CL66" s="63" t="s">
        <v>227</v>
      </c>
      <c r="CM66" s="63">
        <v>-58.6500000000001</v>
      </c>
    </row>
    <row r="67" spans="90:91">
      <c r="CL67" s="63" t="s">
        <v>232</v>
      </c>
      <c r="CM67" s="63">
        <v>-54.3500000000001</v>
      </c>
    </row>
    <row r="68" spans="90:91">
      <c r="CL68" s="63" t="s">
        <v>233</v>
      </c>
      <c r="CM68" s="63">
        <v>-1340.91</v>
      </c>
    </row>
    <row r="69" spans="90:91">
      <c r="CL69" s="63" t="s">
        <v>234</v>
      </c>
      <c r="CM69" s="63">
        <v>-172.13</v>
      </c>
    </row>
  </sheetData>
  <mergeCells count="1">
    <mergeCell ref="EA1:EF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Y414"/>
  <sheetViews>
    <sheetView zoomScale="90" zoomScaleNormal="90" workbookViewId="0">
      <pane xSplit="2" ySplit="49" topLeftCell="C104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6.5"/>
  <cols>
    <col min="1" max="1" width="6.875" style="103" customWidth="1"/>
    <col min="2" max="2" width="22.375" style="103" customWidth="1"/>
    <col min="3" max="3" width="16.875" style="104" customWidth="1"/>
    <col min="4" max="4" width="21.75" style="105" customWidth="1"/>
    <col min="5" max="5" width="17.125" style="105" customWidth="1"/>
    <col min="6" max="6" width="20.75" style="105" customWidth="1"/>
    <col min="7" max="7" width="16.625" style="105" customWidth="1"/>
    <col min="8" max="8" width="33.75" style="106" customWidth="1"/>
    <col min="9" max="9" width="27.625" style="107" customWidth="1"/>
    <col min="10" max="10" width="14" style="107" customWidth="1"/>
    <col min="11" max="11" width="14.625" style="107" customWidth="1"/>
    <col min="12" max="12" width="13.5" style="107" customWidth="1"/>
    <col min="13" max="15" width="14" style="107" customWidth="1"/>
    <col min="16" max="16" width="12.25" style="107" customWidth="1"/>
    <col min="17" max="19" width="9" style="107"/>
    <col min="20" max="20" width="15.125" style="107" customWidth="1"/>
    <col min="21" max="22" width="9" style="107"/>
    <col min="23" max="16384" width="9" style="105"/>
  </cols>
  <sheetData>
    <row r="1" ht="21.75" hidden="1" customHeight="1" spans="1:25">
      <c r="A1" s="105"/>
      <c r="B1" s="105"/>
      <c r="C1" s="108"/>
      <c r="H1" s="105"/>
      <c r="I1" s="107" t="s">
        <v>32</v>
      </c>
      <c r="K1" s="107" t="s">
        <v>5</v>
      </c>
      <c r="M1" s="107" t="s">
        <v>92</v>
      </c>
      <c r="N1" s="114"/>
      <c r="O1" s="114"/>
      <c r="R1" s="114"/>
      <c r="T1" s="107" t="s">
        <v>92</v>
      </c>
      <c r="U1" s="114">
        <f t="shared" ref="U1:U44" si="0">VLOOKUP(T1,$M$1:$Q$44,2,0)</f>
        <v>0</v>
      </c>
      <c r="V1" s="114">
        <v>0</v>
      </c>
      <c r="W1" s="107" t="s">
        <v>92</v>
      </c>
      <c r="X1" s="107" t="s">
        <v>291</v>
      </c>
      <c r="Y1" s="114">
        <f t="shared" ref="Y1:Y44" si="1">VLOOKUP(W1,$M$1:$O$44,3,0)</f>
        <v>0</v>
      </c>
    </row>
    <row r="2" hidden="1" spans="1:25">
      <c r="A2" s="105"/>
      <c r="B2" s="105"/>
      <c r="C2" s="108"/>
      <c r="H2" s="105"/>
      <c r="I2" s="107" t="s">
        <v>33</v>
      </c>
      <c r="K2" s="107" t="s">
        <v>6</v>
      </c>
      <c r="M2" s="107" t="s">
        <v>93</v>
      </c>
      <c r="N2" s="114"/>
      <c r="O2" s="114"/>
      <c r="R2" s="114"/>
      <c r="T2" s="107" t="s">
        <v>93</v>
      </c>
      <c r="U2" s="114">
        <f t="shared" si="0"/>
        <v>0</v>
      </c>
      <c r="V2" s="114">
        <v>0</v>
      </c>
      <c r="W2" s="107" t="s">
        <v>93</v>
      </c>
      <c r="X2" s="107" t="s">
        <v>291</v>
      </c>
      <c r="Y2" s="114">
        <f t="shared" si="1"/>
        <v>0</v>
      </c>
    </row>
    <row r="3" hidden="1" spans="1:25">
      <c r="A3" s="105"/>
      <c r="B3" s="105"/>
      <c r="C3" s="108"/>
      <c r="H3" s="105"/>
      <c r="I3" s="107" t="s">
        <v>34</v>
      </c>
      <c r="K3" s="107" t="s">
        <v>7</v>
      </c>
      <c r="M3" s="107" t="s">
        <v>94</v>
      </c>
      <c r="N3" s="114"/>
      <c r="O3" s="114"/>
      <c r="R3" s="114"/>
      <c r="T3" s="107" t="s">
        <v>94</v>
      </c>
      <c r="U3" s="114">
        <f t="shared" si="0"/>
        <v>0</v>
      </c>
      <c r="V3" s="114">
        <v>0</v>
      </c>
      <c r="W3" s="107" t="s">
        <v>94</v>
      </c>
      <c r="X3" s="107" t="s">
        <v>291</v>
      </c>
      <c r="Y3" s="114">
        <f t="shared" si="1"/>
        <v>0</v>
      </c>
    </row>
    <row r="4" hidden="1" spans="1:25">
      <c r="A4" s="105"/>
      <c r="B4" s="105"/>
      <c r="C4" s="108"/>
      <c r="H4" s="105"/>
      <c r="I4" s="107" t="s">
        <v>35</v>
      </c>
      <c r="K4" s="107" t="s">
        <v>9</v>
      </c>
      <c r="M4" s="107" t="s">
        <v>95</v>
      </c>
      <c r="N4" s="114"/>
      <c r="O4" s="114"/>
      <c r="R4" s="114"/>
      <c r="T4" s="107" t="s">
        <v>96</v>
      </c>
      <c r="U4" s="114">
        <f t="shared" si="0"/>
        <v>0</v>
      </c>
      <c r="V4" s="114">
        <v>0</v>
      </c>
      <c r="W4" s="107" t="s">
        <v>95</v>
      </c>
      <c r="X4" s="107" t="s">
        <v>291</v>
      </c>
      <c r="Y4" s="114">
        <f t="shared" si="1"/>
        <v>0</v>
      </c>
    </row>
    <row r="5" hidden="1" spans="1:25">
      <c r="A5" s="105"/>
      <c r="B5" s="105"/>
      <c r="C5" s="108"/>
      <c r="H5" s="105"/>
      <c r="I5" s="107" t="s">
        <v>36</v>
      </c>
      <c r="K5" s="107" t="s">
        <v>14</v>
      </c>
      <c r="M5" s="107" t="s">
        <v>96</v>
      </c>
      <c r="N5" s="114"/>
      <c r="O5" s="114"/>
      <c r="R5" s="114"/>
      <c r="T5" s="107" t="s">
        <v>97</v>
      </c>
      <c r="U5" s="114">
        <f t="shared" si="0"/>
        <v>0</v>
      </c>
      <c r="V5" s="114">
        <v>0</v>
      </c>
      <c r="W5" s="107" t="s">
        <v>96</v>
      </c>
      <c r="X5" s="107" t="s">
        <v>291</v>
      </c>
      <c r="Y5" s="114">
        <f t="shared" si="1"/>
        <v>0</v>
      </c>
    </row>
    <row r="6" hidden="1" spans="1:25">
      <c r="A6" s="105"/>
      <c r="B6" s="105"/>
      <c r="C6" s="108"/>
      <c r="H6" s="105"/>
      <c r="I6" s="107" t="s">
        <v>37</v>
      </c>
      <c r="K6" s="107" t="s">
        <v>17</v>
      </c>
      <c r="M6" s="107" t="s">
        <v>97</v>
      </c>
      <c r="N6" s="114"/>
      <c r="O6" s="114"/>
      <c r="R6" s="114"/>
      <c r="T6" s="107" t="s">
        <v>98</v>
      </c>
      <c r="U6" s="114">
        <f t="shared" si="0"/>
        <v>0</v>
      </c>
      <c r="V6" s="114">
        <v>0</v>
      </c>
      <c r="W6" s="107" t="s">
        <v>97</v>
      </c>
      <c r="X6" s="107" t="s">
        <v>291</v>
      </c>
      <c r="Y6" s="114">
        <f t="shared" si="1"/>
        <v>0</v>
      </c>
    </row>
    <row r="7" hidden="1" spans="1:25">
      <c r="A7" s="105"/>
      <c r="B7" s="105"/>
      <c r="C7" s="108"/>
      <c r="H7" s="105"/>
      <c r="I7" s="107" t="s">
        <v>39</v>
      </c>
      <c r="K7" s="107" t="s">
        <v>19</v>
      </c>
      <c r="M7" s="107" t="s">
        <v>98</v>
      </c>
      <c r="N7" s="114"/>
      <c r="O7" s="114"/>
      <c r="R7" s="114"/>
      <c r="T7" s="107" t="s">
        <v>99</v>
      </c>
      <c r="U7" s="114">
        <f t="shared" si="0"/>
        <v>0</v>
      </c>
      <c r="V7" s="114">
        <v>0</v>
      </c>
      <c r="W7" s="107" t="s">
        <v>98</v>
      </c>
      <c r="X7" s="107" t="s">
        <v>291</v>
      </c>
      <c r="Y7" s="114">
        <f t="shared" si="1"/>
        <v>0</v>
      </c>
    </row>
    <row r="8" hidden="1" spans="1:25">
      <c r="A8" s="105"/>
      <c r="B8" s="105"/>
      <c r="C8" s="108"/>
      <c r="H8" s="105"/>
      <c r="I8" s="107" t="s">
        <v>40</v>
      </c>
      <c r="K8" s="107" t="s">
        <v>80</v>
      </c>
      <c r="M8" s="107" t="s">
        <v>99</v>
      </c>
      <c r="N8" s="114"/>
      <c r="O8" s="114"/>
      <c r="R8" s="114"/>
      <c r="T8" s="107" t="s">
        <v>292</v>
      </c>
      <c r="U8" s="114" t="e">
        <f t="shared" si="0"/>
        <v>#N/A</v>
      </c>
      <c r="V8" s="114">
        <v>0</v>
      </c>
      <c r="W8" s="107" t="s">
        <v>99</v>
      </c>
      <c r="X8" s="107" t="s">
        <v>291</v>
      </c>
      <c r="Y8" s="114">
        <f t="shared" si="1"/>
        <v>0</v>
      </c>
    </row>
    <row r="9" hidden="1" spans="1:25">
      <c r="A9" s="105"/>
      <c r="B9" s="105"/>
      <c r="C9" s="108"/>
      <c r="H9" s="105"/>
      <c r="I9" s="107" t="s">
        <v>41</v>
      </c>
      <c r="K9" s="107" t="s">
        <v>20</v>
      </c>
      <c r="M9" s="107" t="s">
        <v>100</v>
      </c>
      <c r="N9" s="114"/>
      <c r="O9" s="114"/>
      <c r="R9" s="114"/>
      <c r="T9" s="107" t="s">
        <v>101</v>
      </c>
      <c r="U9" s="114">
        <f t="shared" si="0"/>
        <v>0</v>
      </c>
      <c r="V9" s="114">
        <v>0</v>
      </c>
      <c r="W9" s="107" t="s">
        <v>100</v>
      </c>
      <c r="X9" s="107" t="s">
        <v>291</v>
      </c>
      <c r="Y9" s="114">
        <f t="shared" si="1"/>
        <v>0</v>
      </c>
    </row>
    <row r="10" hidden="1" spans="1:25">
      <c r="A10" s="105"/>
      <c r="B10" s="105"/>
      <c r="C10" s="108"/>
      <c r="H10" s="105"/>
      <c r="I10" s="107" t="s">
        <v>43</v>
      </c>
      <c r="K10" s="107" t="s">
        <v>12</v>
      </c>
      <c r="M10" s="107" t="s">
        <v>101</v>
      </c>
      <c r="N10" s="114"/>
      <c r="O10" s="114"/>
      <c r="R10" s="114"/>
      <c r="T10" s="107" t="s">
        <v>104</v>
      </c>
      <c r="U10" s="114">
        <f t="shared" si="0"/>
        <v>0</v>
      </c>
      <c r="V10" s="114">
        <v>0</v>
      </c>
      <c r="W10" s="107" t="s">
        <v>101</v>
      </c>
      <c r="X10" s="107" t="s">
        <v>291</v>
      </c>
      <c r="Y10" s="114">
        <f t="shared" si="1"/>
        <v>0</v>
      </c>
    </row>
    <row r="11" hidden="1" spans="1:25">
      <c r="A11" s="105"/>
      <c r="B11" s="105"/>
      <c r="C11" s="108"/>
      <c r="H11" s="105"/>
      <c r="I11" s="107" t="s">
        <v>44</v>
      </c>
      <c r="K11" s="107" t="s">
        <v>22</v>
      </c>
      <c r="M11" s="107" t="s">
        <v>104</v>
      </c>
      <c r="N11" s="114"/>
      <c r="O11" s="114"/>
      <c r="R11" s="114"/>
      <c r="T11" s="107" t="s">
        <v>293</v>
      </c>
      <c r="U11" s="114" t="e">
        <f t="shared" si="0"/>
        <v>#N/A</v>
      </c>
      <c r="V11" s="114">
        <v>0</v>
      </c>
      <c r="W11" s="107" t="s">
        <v>104</v>
      </c>
      <c r="X11" s="107" t="s">
        <v>291</v>
      </c>
      <c r="Y11" s="114">
        <f t="shared" si="1"/>
        <v>0</v>
      </c>
    </row>
    <row r="12" hidden="1" spans="1:25">
      <c r="A12" s="105"/>
      <c r="B12" s="105"/>
      <c r="C12" s="108"/>
      <c r="H12" s="105"/>
      <c r="I12" s="107" t="s">
        <v>45</v>
      </c>
      <c r="K12" s="107" t="s">
        <v>83</v>
      </c>
      <c r="M12" s="107" t="s">
        <v>105</v>
      </c>
      <c r="N12" s="114"/>
      <c r="O12" s="114"/>
      <c r="R12" s="114"/>
      <c r="T12" s="107" t="s">
        <v>106</v>
      </c>
      <c r="U12" s="114">
        <f t="shared" si="0"/>
        <v>0</v>
      </c>
      <c r="V12" s="114">
        <v>0</v>
      </c>
      <c r="W12" s="107" t="s">
        <v>105</v>
      </c>
      <c r="X12" s="107" t="s">
        <v>291</v>
      </c>
      <c r="Y12" s="114">
        <f t="shared" si="1"/>
        <v>0</v>
      </c>
    </row>
    <row r="13" hidden="1" spans="1:25">
      <c r="A13" s="105"/>
      <c r="B13" s="105"/>
      <c r="C13" s="108"/>
      <c r="H13" s="105"/>
      <c r="I13" s="107" t="s">
        <v>46</v>
      </c>
      <c r="K13" s="107" t="s">
        <v>23</v>
      </c>
      <c r="M13" s="107" t="s">
        <v>106</v>
      </c>
      <c r="N13" s="114"/>
      <c r="O13" s="114"/>
      <c r="R13" s="114"/>
      <c r="T13" s="107" t="s">
        <v>108</v>
      </c>
      <c r="U13" s="114">
        <f t="shared" si="0"/>
        <v>0</v>
      </c>
      <c r="V13" s="114">
        <v>0</v>
      </c>
      <c r="W13" s="107" t="s">
        <v>106</v>
      </c>
      <c r="X13" s="107" t="s">
        <v>291</v>
      </c>
      <c r="Y13" s="114">
        <f t="shared" si="1"/>
        <v>0</v>
      </c>
    </row>
    <row r="14" hidden="1" spans="1:25">
      <c r="A14" s="105"/>
      <c r="B14" s="105"/>
      <c r="C14" s="108"/>
      <c r="H14" s="105"/>
      <c r="I14" s="107" t="s">
        <v>48</v>
      </c>
      <c r="K14" s="107" t="s">
        <v>24</v>
      </c>
      <c r="M14" s="107" t="s">
        <v>107</v>
      </c>
      <c r="N14" s="114"/>
      <c r="O14" s="114"/>
      <c r="R14" s="114"/>
      <c r="T14" s="107" t="s">
        <v>110</v>
      </c>
      <c r="U14" s="114">
        <f t="shared" si="0"/>
        <v>0</v>
      </c>
      <c r="V14" s="114">
        <v>0</v>
      </c>
      <c r="W14" s="107" t="s">
        <v>107</v>
      </c>
      <c r="X14" s="107" t="s">
        <v>291</v>
      </c>
      <c r="Y14" s="114">
        <f t="shared" si="1"/>
        <v>0</v>
      </c>
    </row>
    <row r="15" hidden="1" spans="1:25">
      <c r="A15" s="105"/>
      <c r="B15" s="105"/>
      <c r="C15" s="108"/>
      <c r="H15" s="105"/>
      <c r="I15" s="107" t="s">
        <v>49</v>
      </c>
      <c r="K15" s="107" t="s">
        <v>29</v>
      </c>
      <c r="M15" s="107" t="s">
        <v>108</v>
      </c>
      <c r="N15" s="114"/>
      <c r="O15" s="114"/>
      <c r="R15" s="114"/>
      <c r="T15" s="107" t="s">
        <v>111</v>
      </c>
      <c r="U15" s="114">
        <f t="shared" si="0"/>
        <v>0</v>
      </c>
      <c r="V15" s="114">
        <v>0</v>
      </c>
      <c r="W15" s="107" t="s">
        <v>108</v>
      </c>
      <c r="X15" s="107" t="s">
        <v>291</v>
      </c>
      <c r="Y15" s="114">
        <f t="shared" si="1"/>
        <v>0</v>
      </c>
    </row>
    <row r="16" hidden="1" spans="9:25">
      <c r="I16" s="107" t="s">
        <v>51</v>
      </c>
      <c r="K16" s="107" t="s">
        <v>86</v>
      </c>
      <c r="M16" s="107" t="s">
        <v>110</v>
      </c>
      <c r="N16" s="114"/>
      <c r="O16" s="114"/>
      <c r="R16" s="114"/>
      <c r="T16" s="107" t="s">
        <v>124</v>
      </c>
      <c r="U16" s="114">
        <f t="shared" si="0"/>
        <v>0</v>
      </c>
      <c r="V16" s="114">
        <v>0</v>
      </c>
      <c r="W16" s="107" t="s">
        <v>110</v>
      </c>
      <c r="X16" s="107" t="s">
        <v>291</v>
      </c>
      <c r="Y16" s="114">
        <f t="shared" si="1"/>
        <v>0</v>
      </c>
    </row>
    <row r="17" hidden="1" spans="9:25">
      <c r="I17" s="107" t="s">
        <v>53</v>
      </c>
      <c r="K17" s="107" t="s">
        <v>164</v>
      </c>
      <c r="M17" s="107" t="s">
        <v>111</v>
      </c>
      <c r="N17" s="114"/>
      <c r="O17" s="114"/>
      <c r="R17" s="114"/>
      <c r="T17" s="107" t="s">
        <v>125</v>
      </c>
      <c r="U17" s="114">
        <f t="shared" si="0"/>
        <v>0</v>
      </c>
      <c r="V17" s="114">
        <v>0</v>
      </c>
      <c r="W17" s="107" t="s">
        <v>111</v>
      </c>
      <c r="X17" s="107" t="s">
        <v>291</v>
      </c>
      <c r="Y17" s="114">
        <f t="shared" si="1"/>
        <v>0</v>
      </c>
    </row>
    <row r="18" hidden="1" spans="11:25">
      <c r="K18" s="107" t="s">
        <v>158</v>
      </c>
      <c r="M18" s="107" t="s">
        <v>112</v>
      </c>
      <c r="N18" s="114"/>
      <c r="O18" s="114"/>
      <c r="R18" s="114"/>
      <c r="T18" s="107" t="s">
        <v>112</v>
      </c>
      <c r="U18" s="114">
        <f t="shared" si="0"/>
        <v>0</v>
      </c>
      <c r="V18" s="114">
        <v>0</v>
      </c>
      <c r="W18" s="107" t="s">
        <v>112</v>
      </c>
      <c r="X18" s="107" t="s">
        <v>291</v>
      </c>
      <c r="Y18" s="114">
        <f t="shared" si="1"/>
        <v>0</v>
      </c>
    </row>
    <row r="19" hidden="1" spans="11:25">
      <c r="K19" s="107" t="s">
        <v>16</v>
      </c>
      <c r="M19" s="107" t="s">
        <v>113</v>
      </c>
      <c r="N19" s="114"/>
      <c r="O19" s="114"/>
      <c r="R19" s="114"/>
      <c r="T19" s="107" t="s">
        <v>113</v>
      </c>
      <c r="U19" s="114">
        <f t="shared" si="0"/>
        <v>0</v>
      </c>
      <c r="V19" s="114">
        <v>0</v>
      </c>
      <c r="W19" s="107" t="s">
        <v>113</v>
      </c>
      <c r="X19" s="107" t="s">
        <v>291</v>
      </c>
      <c r="Y19" s="114">
        <f t="shared" si="1"/>
        <v>0</v>
      </c>
    </row>
    <row r="20" hidden="1" spans="11:25">
      <c r="K20" s="107" t="s">
        <v>18</v>
      </c>
      <c r="M20" s="107" t="s">
        <v>114</v>
      </c>
      <c r="N20" s="114"/>
      <c r="O20" s="114"/>
      <c r="R20" s="114"/>
      <c r="T20" s="107" t="s">
        <v>95</v>
      </c>
      <c r="U20" s="114">
        <f t="shared" si="0"/>
        <v>0</v>
      </c>
      <c r="V20" s="114">
        <v>0</v>
      </c>
      <c r="W20" s="107" t="s">
        <v>114</v>
      </c>
      <c r="X20" s="107" t="s">
        <v>291</v>
      </c>
      <c r="Y20" s="114">
        <f t="shared" si="1"/>
        <v>0</v>
      </c>
    </row>
    <row r="21" hidden="1" spans="11:25">
      <c r="K21" s="107" t="s">
        <v>159</v>
      </c>
      <c r="M21" s="107" t="s">
        <v>115</v>
      </c>
      <c r="N21" s="114"/>
      <c r="O21" s="114"/>
      <c r="R21" s="114"/>
      <c r="T21" s="107" t="s">
        <v>126</v>
      </c>
      <c r="U21" s="114">
        <f t="shared" si="0"/>
        <v>0</v>
      </c>
      <c r="V21" s="114">
        <v>0</v>
      </c>
      <c r="W21" s="107" t="s">
        <v>115</v>
      </c>
      <c r="X21" s="107" t="s">
        <v>291</v>
      </c>
      <c r="Y21" s="114">
        <f t="shared" si="1"/>
        <v>0</v>
      </c>
    </row>
    <row r="22" hidden="1" spans="11:25">
      <c r="K22" s="107" t="s">
        <v>10</v>
      </c>
      <c r="M22" s="107" t="s">
        <v>116</v>
      </c>
      <c r="N22" s="114"/>
      <c r="O22" s="114"/>
      <c r="R22" s="114"/>
      <c r="T22" s="107" t="s">
        <v>114</v>
      </c>
      <c r="U22" s="114">
        <f t="shared" si="0"/>
        <v>0</v>
      </c>
      <c r="V22" s="114">
        <v>0</v>
      </c>
      <c r="W22" s="107" t="s">
        <v>116</v>
      </c>
      <c r="X22" s="107" t="s">
        <v>291</v>
      </c>
      <c r="Y22" s="114">
        <f t="shared" si="1"/>
        <v>0</v>
      </c>
    </row>
    <row r="23" hidden="1" spans="11:25">
      <c r="K23" s="107" t="s">
        <v>11</v>
      </c>
      <c r="M23" s="107" t="s">
        <v>117</v>
      </c>
      <c r="N23" s="114"/>
      <c r="O23" s="114"/>
      <c r="R23" s="114"/>
      <c r="T23" s="107" t="s">
        <v>121</v>
      </c>
      <c r="U23" s="114">
        <f t="shared" si="0"/>
        <v>0</v>
      </c>
      <c r="V23" s="114">
        <v>0</v>
      </c>
      <c r="W23" s="107" t="s">
        <v>117</v>
      </c>
      <c r="X23" s="107" t="s">
        <v>291</v>
      </c>
      <c r="Y23" s="114">
        <f t="shared" si="1"/>
        <v>0</v>
      </c>
    </row>
    <row r="24" hidden="1" spans="11:25">
      <c r="K24" s="107" t="s">
        <v>12</v>
      </c>
      <c r="M24" s="107" t="s">
        <v>118</v>
      </c>
      <c r="N24" s="114"/>
      <c r="O24" s="114"/>
      <c r="R24" s="114"/>
      <c r="T24" s="107" t="s">
        <v>115</v>
      </c>
      <c r="U24" s="114">
        <f t="shared" si="0"/>
        <v>0</v>
      </c>
      <c r="V24" s="114">
        <v>0</v>
      </c>
      <c r="W24" s="107" t="s">
        <v>118</v>
      </c>
      <c r="X24" s="107" t="s">
        <v>291</v>
      </c>
      <c r="Y24" s="114">
        <f t="shared" si="1"/>
        <v>0</v>
      </c>
    </row>
    <row r="25" hidden="1" spans="11:25">
      <c r="K25" s="107" t="s">
        <v>15</v>
      </c>
      <c r="M25" s="107" t="s">
        <v>119</v>
      </c>
      <c r="N25" s="114"/>
      <c r="O25" s="114"/>
      <c r="R25" s="114"/>
      <c r="T25" s="107" t="s">
        <v>127</v>
      </c>
      <c r="U25" s="114">
        <f t="shared" si="0"/>
        <v>0</v>
      </c>
      <c r="V25" s="114">
        <v>0</v>
      </c>
      <c r="W25" s="107" t="s">
        <v>119</v>
      </c>
      <c r="X25" s="107" t="s">
        <v>291</v>
      </c>
      <c r="Y25" s="114">
        <f t="shared" si="1"/>
        <v>0</v>
      </c>
    </row>
    <row r="26" hidden="1" spans="11:25">
      <c r="K26" s="107" t="s">
        <v>26</v>
      </c>
      <c r="M26" s="107" t="s">
        <v>120</v>
      </c>
      <c r="N26" s="114"/>
      <c r="O26" s="114"/>
      <c r="R26" s="114"/>
      <c r="T26" s="107" t="s">
        <v>116</v>
      </c>
      <c r="U26" s="114">
        <f t="shared" si="0"/>
        <v>0</v>
      </c>
      <c r="V26" s="114">
        <v>0</v>
      </c>
      <c r="W26" s="107" t="s">
        <v>120</v>
      </c>
      <c r="X26" s="107" t="s">
        <v>291</v>
      </c>
      <c r="Y26" s="114">
        <f t="shared" si="1"/>
        <v>0</v>
      </c>
    </row>
    <row r="27" hidden="1" spans="11:25">
      <c r="K27" s="107" t="s">
        <v>27</v>
      </c>
      <c r="M27" s="107" t="s">
        <v>121</v>
      </c>
      <c r="N27" s="114"/>
      <c r="O27" s="114"/>
      <c r="R27" s="114"/>
      <c r="T27" s="107" t="s">
        <v>117</v>
      </c>
      <c r="U27" s="114">
        <f t="shared" si="0"/>
        <v>0</v>
      </c>
      <c r="V27" s="114">
        <v>0</v>
      </c>
      <c r="W27" s="107" t="s">
        <v>121</v>
      </c>
      <c r="X27" s="107" t="s">
        <v>291</v>
      </c>
      <c r="Y27" s="114">
        <f t="shared" si="1"/>
        <v>0</v>
      </c>
    </row>
    <row r="28" hidden="1" spans="11:25">
      <c r="K28" s="107" t="s">
        <v>57</v>
      </c>
      <c r="M28" s="107" t="s">
        <v>122</v>
      </c>
      <c r="N28" s="114"/>
      <c r="O28" s="114"/>
      <c r="R28" s="114"/>
      <c r="T28" s="107" t="s">
        <v>120</v>
      </c>
      <c r="U28" s="114">
        <f t="shared" si="0"/>
        <v>0</v>
      </c>
      <c r="V28" s="114">
        <v>0</v>
      </c>
      <c r="W28" s="107" t="s">
        <v>122</v>
      </c>
      <c r="X28" s="107" t="s">
        <v>291</v>
      </c>
      <c r="Y28" s="114">
        <f t="shared" si="1"/>
        <v>0</v>
      </c>
    </row>
    <row r="29" hidden="1" spans="11:25">
      <c r="K29" s="107" t="s">
        <v>28</v>
      </c>
      <c r="M29" s="107" t="s">
        <v>124</v>
      </c>
      <c r="N29" s="114"/>
      <c r="O29" s="114"/>
      <c r="R29" s="114"/>
      <c r="T29" s="107" t="s">
        <v>128</v>
      </c>
      <c r="U29" s="114">
        <f t="shared" si="0"/>
        <v>0</v>
      </c>
      <c r="V29" s="114">
        <v>0</v>
      </c>
      <c r="W29" s="107" t="s">
        <v>124</v>
      </c>
      <c r="X29" s="107" t="s">
        <v>291</v>
      </c>
      <c r="Y29" s="114">
        <f t="shared" si="1"/>
        <v>0</v>
      </c>
    </row>
    <row r="30" hidden="1" spans="11:25">
      <c r="K30" s="107" t="s">
        <v>25</v>
      </c>
      <c r="M30" s="107" t="s">
        <v>125</v>
      </c>
      <c r="N30" s="114"/>
      <c r="O30" s="114"/>
      <c r="R30" s="114"/>
      <c r="T30" s="107" t="s">
        <v>129</v>
      </c>
      <c r="U30" s="114">
        <f t="shared" si="0"/>
        <v>0</v>
      </c>
      <c r="V30" s="114">
        <v>0</v>
      </c>
      <c r="W30" s="107" t="s">
        <v>125</v>
      </c>
      <c r="X30" s="107" t="s">
        <v>291</v>
      </c>
      <c r="Y30" s="114">
        <f t="shared" si="1"/>
        <v>0</v>
      </c>
    </row>
    <row r="31" hidden="1" spans="13:25">
      <c r="M31" s="107" t="s">
        <v>126</v>
      </c>
      <c r="N31" s="114"/>
      <c r="O31" s="114"/>
      <c r="R31" s="114"/>
      <c r="T31" s="107" t="s">
        <v>118</v>
      </c>
      <c r="U31" s="114">
        <f t="shared" si="0"/>
        <v>0</v>
      </c>
      <c r="V31" s="114">
        <v>0</v>
      </c>
      <c r="W31" s="107" t="s">
        <v>126</v>
      </c>
      <c r="X31" s="107" t="s">
        <v>291</v>
      </c>
      <c r="Y31" s="114">
        <f t="shared" si="1"/>
        <v>0</v>
      </c>
    </row>
    <row r="32" hidden="1" spans="13:25">
      <c r="M32" s="107" t="s">
        <v>127</v>
      </c>
      <c r="N32" s="114"/>
      <c r="O32" s="114"/>
      <c r="R32" s="114"/>
      <c r="T32" s="107" t="s">
        <v>119</v>
      </c>
      <c r="U32" s="114">
        <f t="shared" si="0"/>
        <v>0</v>
      </c>
      <c r="V32" s="114">
        <v>0</v>
      </c>
      <c r="W32" s="107" t="s">
        <v>127</v>
      </c>
      <c r="X32" s="107" t="s">
        <v>291</v>
      </c>
      <c r="Y32" s="114">
        <f t="shared" si="1"/>
        <v>0</v>
      </c>
    </row>
    <row r="33" hidden="1" spans="13:25">
      <c r="M33" s="107" t="s">
        <v>128</v>
      </c>
      <c r="N33" s="114"/>
      <c r="O33" s="114"/>
      <c r="R33" s="114"/>
      <c r="T33" s="107" t="s">
        <v>130</v>
      </c>
      <c r="U33" s="114">
        <f t="shared" si="0"/>
        <v>0</v>
      </c>
      <c r="V33" s="114">
        <v>0</v>
      </c>
      <c r="W33" s="107" t="s">
        <v>128</v>
      </c>
      <c r="X33" s="107" t="s">
        <v>291</v>
      </c>
      <c r="Y33" s="114">
        <f t="shared" si="1"/>
        <v>0</v>
      </c>
    </row>
    <row r="34" hidden="1" spans="13:25">
      <c r="M34" s="107" t="s">
        <v>129</v>
      </c>
      <c r="N34" s="114"/>
      <c r="O34" s="114"/>
      <c r="R34" s="114"/>
      <c r="T34" s="107" t="s">
        <v>107</v>
      </c>
      <c r="U34" s="114">
        <f t="shared" si="0"/>
        <v>0</v>
      </c>
      <c r="V34" s="114">
        <v>0</v>
      </c>
      <c r="W34" s="107" t="s">
        <v>129</v>
      </c>
      <c r="X34" s="107" t="s">
        <v>291</v>
      </c>
      <c r="Y34" s="114">
        <f t="shared" si="1"/>
        <v>0</v>
      </c>
    </row>
    <row r="35" hidden="1" spans="13:25">
      <c r="M35" s="107" t="s">
        <v>130</v>
      </c>
      <c r="N35" s="114"/>
      <c r="O35" s="114"/>
      <c r="R35" s="114"/>
      <c r="T35" s="107" t="s">
        <v>131</v>
      </c>
      <c r="U35" s="114">
        <f t="shared" si="0"/>
        <v>0</v>
      </c>
      <c r="V35" s="114">
        <v>0</v>
      </c>
      <c r="W35" s="107" t="s">
        <v>130</v>
      </c>
      <c r="X35" s="107" t="s">
        <v>291</v>
      </c>
      <c r="Y35" s="114">
        <f t="shared" si="1"/>
        <v>0</v>
      </c>
    </row>
    <row r="36" hidden="1" spans="13:25">
      <c r="M36" s="107" t="s">
        <v>131</v>
      </c>
      <c r="N36" s="114"/>
      <c r="O36" s="114"/>
      <c r="R36" s="114"/>
      <c r="T36" s="107" t="s">
        <v>132</v>
      </c>
      <c r="U36" s="114">
        <f t="shared" si="0"/>
        <v>0</v>
      </c>
      <c r="V36" s="114">
        <v>0</v>
      </c>
      <c r="W36" s="107" t="s">
        <v>131</v>
      </c>
      <c r="X36" s="107" t="s">
        <v>291</v>
      </c>
      <c r="Y36" s="114">
        <f t="shared" si="1"/>
        <v>0</v>
      </c>
    </row>
    <row r="37" hidden="1" spans="13:25">
      <c r="M37" s="107" t="s">
        <v>132</v>
      </c>
      <c r="N37" s="114"/>
      <c r="O37" s="114"/>
      <c r="R37" s="114"/>
      <c r="T37" s="107" t="s">
        <v>294</v>
      </c>
      <c r="U37" s="114" t="e">
        <f t="shared" si="0"/>
        <v>#N/A</v>
      </c>
      <c r="V37" s="114">
        <v>0</v>
      </c>
      <c r="W37" s="107" t="s">
        <v>132</v>
      </c>
      <c r="X37" s="107" t="s">
        <v>291</v>
      </c>
      <c r="Y37" s="114">
        <f t="shared" si="1"/>
        <v>0</v>
      </c>
    </row>
    <row r="38" hidden="1" spans="13:25">
      <c r="M38" s="107" t="s">
        <v>133</v>
      </c>
      <c r="N38" s="114"/>
      <c r="O38" s="114"/>
      <c r="R38" s="114"/>
      <c r="T38" s="107" t="s">
        <v>133</v>
      </c>
      <c r="U38" s="114">
        <f t="shared" si="0"/>
        <v>0</v>
      </c>
      <c r="V38" s="114">
        <v>0</v>
      </c>
      <c r="W38" s="107" t="s">
        <v>133</v>
      </c>
      <c r="X38" s="107" t="s">
        <v>291</v>
      </c>
      <c r="Y38" s="114">
        <f t="shared" si="1"/>
        <v>0</v>
      </c>
    </row>
    <row r="39" hidden="1" spans="13:25">
      <c r="M39" s="107" t="s">
        <v>134</v>
      </c>
      <c r="N39" s="114"/>
      <c r="O39" s="114"/>
      <c r="R39" s="114"/>
      <c r="T39" s="107" t="s">
        <v>134</v>
      </c>
      <c r="U39" s="114">
        <f t="shared" si="0"/>
        <v>0</v>
      </c>
      <c r="V39" s="114">
        <v>0</v>
      </c>
      <c r="W39" s="107" t="s">
        <v>134</v>
      </c>
      <c r="X39" s="107" t="s">
        <v>291</v>
      </c>
      <c r="Y39" s="114">
        <f t="shared" si="1"/>
        <v>0</v>
      </c>
    </row>
    <row r="40" hidden="1" spans="13:25">
      <c r="M40" s="107" t="s">
        <v>135</v>
      </c>
      <c r="N40" s="114"/>
      <c r="O40" s="114"/>
      <c r="R40" s="114"/>
      <c r="T40" s="107" t="s">
        <v>135</v>
      </c>
      <c r="U40" s="114">
        <f t="shared" si="0"/>
        <v>0</v>
      </c>
      <c r="V40" s="114">
        <v>0</v>
      </c>
      <c r="W40" s="107" t="s">
        <v>135</v>
      </c>
      <c r="X40" s="107" t="s">
        <v>291</v>
      </c>
      <c r="Y40" s="114">
        <f t="shared" si="1"/>
        <v>0</v>
      </c>
    </row>
    <row r="41" hidden="1" spans="3:25">
      <c r="C41" s="109"/>
      <c r="M41" s="107" t="s">
        <v>136</v>
      </c>
      <c r="N41" s="114"/>
      <c r="O41" s="114"/>
      <c r="R41" s="114"/>
      <c r="T41" s="107" t="s">
        <v>136</v>
      </c>
      <c r="U41" s="114">
        <f t="shared" si="0"/>
        <v>0</v>
      </c>
      <c r="V41" s="114">
        <v>0</v>
      </c>
      <c r="W41" s="107" t="s">
        <v>136</v>
      </c>
      <c r="X41" s="107" t="s">
        <v>291</v>
      </c>
      <c r="Y41" s="114">
        <f t="shared" si="1"/>
        <v>0</v>
      </c>
    </row>
    <row r="42" hidden="1" spans="13:25">
      <c r="M42" s="107" t="s">
        <v>137</v>
      </c>
      <c r="N42" s="114"/>
      <c r="O42" s="114"/>
      <c r="R42" s="114"/>
      <c r="T42" s="107" t="s">
        <v>137</v>
      </c>
      <c r="U42" s="114">
        <f t="shared" si="0"/>
        <v>0</v>
      </c>
      <c r="V42" s="114">
        <v>0</v>
      </c>
      <c r="W42" s="107" t="s">
        <v>137</v>
      </c>
      <c r="X42" s="107" t="s">
        <v>291</v>
      </c>
      <c r="Y42" s="114">
        <f t="shared" si="1"/>
        <v>0</v>
      </c>
    </row>
    <row r="43" hidden="1" spans="13:25">
      <c r="M43" s="107" t="s">
        <v>138</v>
      </c>
      <c r="N43" s="114"/>
      <c r="O43" s="114"/>
      <c r="R43" s="114"/>
      <c r="T43" s="107" t="s">
        <v>138</v>
      </c>
      <c r="U43" s="114">
        <f t="shared" si="0"/>
        <v>0</v>
      </c>
      <c r="V43" s="114">
        <v>0</v>
      </c>
      <c r="W43" s="107" t="s">
        <v>138</v>
      </c>
      <c r="X43" s="107" t="s">
        <v>291</v>
      </c>
      <c r="Y43" s="114">
        <f t="shared" si="1"/>
        <v>0</v>
      </c>
    </row>
    <row r="44" hidden="1" spans="13:25">
      <c r="M44" s="107" t="s">
        <v>139</v>
      </c>
      <c r="N44" s="114"/>
      <c r="O44" s="114"/>
      <c r="R44" s="114"/>
      <c r="T44" s="107" t="s">
        <v>295</v>
      </c>
      <c r="U44" s="114" t="e">
        <f t="shared" si="0"/>
        <v>#N/A</v>
      </c>
      <c r="V44" s="114">
        <v>0</v>
      </c>
      <c r="W44" s="107" t="s">
        <v>139</v>
      </c>
      <c r="X44" s="107" t="s">
        <v>291</v>
      </c>
      <c r="Y44" s="114">
        <f t="shared" si="1"/>
        <v>0</v>
      </c>
    </row>
    <row r="45" ht="17.25" spans="1:8">
      <c r="A45" s="110"/>
      <c r="B45" s="110"/>
      <c r="C45" s="111"/>
      <c r="D45" s="110"/>
      <c r="E45" s="110"/>
      <c r="F45" s="110"/>
      <c r="G45" s="110"/>
      <c r="H45" s="112">
        <f>61703.09+20696.23</f>
        <v>82399.32</v>
      </c>
    </row>
    <row r="46" spans="5:8">
      <c r="E46" s="107"/>
      <c r="F46" s="107"/>
      <c r="G46" s="107"/>
      <c r="H46" s="107" t="s">
        <v>2</v>
      </c>
    </row>
    <row r="47" spans="3:8">
      <c r="C47" s="113">
        <f>C71-[13]考核调整事项表!$C$63</f>
        <v>0</v>
      </c>
      <c r="E47" s="107"/>
      <c r="F47" s="107"/>
      <c r="G47" s="107"/>
      <c r="H47" s="114">
        <f>25386.41+8515.02</f>
        <v>33901.43</v>
      </c>
    </row>
    <row r="48" ht="21" spans="1:9">
      <c r="A48" s="115" t="s">
        <v>296</v>
      </c>
      <c r="B48" s="115"/>
      <c r="C48" s="115"/>
      <c r="D48" s="115"/>
      <c r="E48" s="115"/>
      <c r="F48" s="115"/>
      <c r="G48" s="115"/>
      <c r="H48" s="115"/>
      <c r="I48" s="115"/>
    </row>
    <row r="49" spans="1:9">
      <c r="A49" s="116"/>
      <c r="B49" s="116" t="s">
        <v>3</v>
      </c>
      <c r="C49" s="116" t="s">
        <v>297</v>
      </c>
      <c r="D49" s="116" t="s">
        <v>298</v>
      </c>
      <c r="E49" s="116" t="s">
        <v>299</v>
      </c>
      <c r="F49" s="117" t="s">
        <v>300</v>
      </c>
      <c r="G49" s="117" t="s">
        <v>301</v>
      </c>
      <c r="H49" s="117" t="s">
        <v>302</v>
      </c>
      <c r="I49" s="117" t="s">
        <v>303</v>
      </c>
    </row>
    <row r="50" spans="1:9">
      <c r="A50" s="118"/>
      <c r="B50" s="118" t="s">
        <v>304</v>
      </c>
      <c r="C50" s="119"/>
      <c r="D50" s="120"/>
      <c r="E50" s="120"/>
      <c r="F50" s="121"/>
      <c r="G50" s="121"/>
      <c r="H50" s="121"/>
      <c r="I50" s="121"/>
    </row>
    <row r="51" spans="1:9">
      <c r="A51" s="118"/>
      <c r="B51" s="118" t="s">
        <v>305</v>
      </c>
      <c r="C51" s="122">
        <f>SUM(C52:C102)</f>
        <v>30475485.2390335</v>
      </c>
      <c r="D51" s="122"/>
      <c r="E51" s="122">
        <f>SUM(E52:E102)</f>
        <v>-30475485.2390335</v>
      </c>
      <c r="F51" s="121"/>
      <c r="G51" s="121"/>
      <c r="H51" s="121"/>
      <c r="I51" s="121"/>
    </row>
    <row r="52" spans="1:9">
      <c r="A52" s="123" t="s">
        <v>291</v>
      </c>
      <c r="B52" s="123" t="s">
        <v>36</v>
      </c>
      <c r="C52" s="124">
        <v>-9344814.82</v>
      </c>
      <c r="D52" s="125" t="s">
        <v>17</v>
      </c>
      <c r="E52" s="125">
        <f t="shared" ref="E52:E76" si="2">-C52</f>
        <v>9344814.82</v>
      </c>
      <c r="F52" s="125" t="s">
        <v>6</v>
      </c>
      <c r="G52" s="125"/>
      <c r="H52" s="125" t="s">
        <v>306</v>
      </c>
      <c r="I52" s="125"/>
    </row>
    <row r="53" spans="1:9">
      <c r="A53" s="123" t="s">
        <v>307</v>
      </c>
      <c r="B53" s="123" t="s">
        <v>33</v>
      </c>
      <c r="C53" s="126">
        <f>-2171981.13</f>
        <v>-2171981.13</v>
      </c>
      <c r="D53" s="125" t="s">
        <v>7</v>
      </c>
      <c r="E53" s="125">
        <f t="shared" si="2"/>
        <v>2171981.13</v>
      </c>
      <c r="F53" s="125" t="s">
        <v>15</v>
      </c>
      <c r="G53" s="125"/>
      <c r="H53" s="125" t="s">
        <v>308</v>
      </c>
      <c r="I53" s="125"/>
    </row>
    <row r="54" spans="1:10">
      <c r="A54" s="123" t="s">
        <v>309</v>
      </c>
      <c r="B54" s="123" t="s">
        <v>37</v>
      </c>
      <c r="C54" s="124">
        <v>5277209.38</v>
      </c>
      <c r="D54" s="125" t="s">
        <v>17</v>
      </c>
      <c r="E54" s="125">
        <f t="shared" si="2"/>
        <v>-5277209.38</v>
      </c>
      <c r="F54" s="125" t="s">
        <v>14</v>
      </c>
      <c r="G54" s="125"/>
      <c r="H54" s="125" t="s">
        <v>310</v>
      </c>
      <c r="I54" s="125" t="s">
        <v>311</v>
      </c>
      <c r="J54" s="129"/>
    </row>
    <row r="55" spans="1:9">
      <c r="A55" s="123" t="s">
        <v>312</v>
      </c>
      <c r="B55" s="123" t="s">
        <v>39</v>
      </c>
      <c r="C55" s="124">
        <v>399124.83</v>
      </c>
      <c r="D55" s="125" t="s">
        <v>17</v>
      </c>
      <c r="E55" s="125">
        <f t="shared" si="2"/>
        <v>-399124.83</v>
      </c>
      <c r="F55" s="125" t="s">
        <v>19</v>
      </c>
      <c r="G55" s="125"/>
      <c r="H55" s="125" t="s">
        <v>313</v>
      </c>
      <c r="I55" s="125" t="s">
        <v>311</v>
      </c>
    </row>
    <row r="56" spans="1:9">
      <c r="A56" s="123" t="s">
        <v>314</v>
      </c>
      <c r="B56" s="123" t="s">
        <v>37</v>
      </c>
      <c r="C56" s="124">
        <v>6152519.52</v>
      </c>
      <c r="D56" s="125" t="s">
        <v>17</v>
      </c>
      <c r="E56" s="125">
        <f t="shared" si="2"/>
        <v>-6152519.52</v>
      </c>
      <c r="F56" s="125" t="s">
        <v>12</v>
      </c>
      <c r="G56" s="125"/>
      <c r="H56" s="125" t="s">
        <v>315</v>
      </c>
      <c r="I56" s="125" t="s">
        <v>311</v>
      </c>
    </row>
    <row r="57" spans="1:9">
      <c r="A57" s="123" t="s">
        <v>316</v>
      </c>
      <c r="B57" s="123" t="s">
        <v>37</v>
      </c>
      <c r="C57" s="124">
        <v>81551.59</v>
      </c>
      <c r="D57" s="125" t="s">
        <v>17</v>
      </c>
      <c r="E57" s="125">
        <f t="shared" si="2"/>
        <v>-81551.59</v>
      </c>
      <c r="F57" s="125" t="s">
        <v>14</v>
      </c>
      <c r="G57" s="125"/>
      <c r="H57" s="125" t="s">
        <v>317</v>
      </c>
      <c r="I57" s="125"/>
    </row>
    <row r="58" spans="1:9">
      <c r="A58" s="123" t="s">
        <v>318</v>
      </c>
      <c r="B58" s="123" t="s">
        <v>39</v>
      </c>
      <c r="C58" s="124">
        <v>-171035.29</v>
      </c>
      <c r="D58" s="125" t="s">
        <v>17</v>
      </c>
      <c r="E58" s="125">
        <f t="shared" si="2"/>
        <v>171035.29</v>
      </c>
      <c r="F58" s="125" t="s">
        <v>14</v>
      </c>
      <c r="G58" s="125"/>
      <c r="H58" s="125" t="s">
        <v>319</v>
      </c>
      <c r="I58" s="125"/>
    </row>
    <row r="59" spans="1:9">
      <c r="A59" s="123" t="s">
        <v>320</v>
      </c>
      <c r="B59" s="123" t="s">
        <v>34</v>
      </c>
      <c r="C59" s="124">
        <v>-1182641.51</v>
      </c>
      <c r="D59" s="125" t="s">
        <v>22</v>
      </c>
      <c r="E59" s="125">
        <f t="shared" si="2"/>
        <v>1182641.51</v>
      </c>
      <c r="F59" s="125" t="s">
        <v>7</v>
      </c>
      <c r="G59" s="125"/>
      <c r="H59" s="125" t="s">
        <v>321</v>
      </c>
      <c r="I59" s="125"/>
    </row>
    <row r="60" spans="1:9">
      <c r="A60" s="123" t="s">
        <v>322</v>
      </c>
      <c r="B60" s="123" t="s">
        <v>37</v>
      </c>
      <c r="C60" s="125">
        <v>4529673.64</v>
      </c>
      <c r="D60" s="125" t="s">
        <v>15</v>
      </c>
      <c r="E60" s="125">
        <f t="shared" si="2"/>
        <v>-4529673.64</v>
      </c>
      <c r="F60" s="125" t="s">
        <v>5</v>
      </c>
      <c r="G60" s="125"/>
      <c r="H60" s="125" t="s">
        <v>323</v>
      </c>
      <c r="I60" s="125"/>
    </row>
    <row r="61" spans="1:9">
      <c r="A61" s="123" t="s">
        <v>324</v>
      </c>
      <c r="B61" s="123" t="s">
        <v>37</v>
      </c>
      <c r="C61" s="124">
        <v>-5408765.547</v>
      </c>
      <c r="D61" s="125" t="s">
        <v>15</v>
      </c>
      <c r="E61" s="125">
        <f t="shared" si="2"/>
        <v>5408765.547</v>
      </c>
      <c r="F61" s="125" t="s">
        <v>6</v>
      </c>
      <c r="G61" s="125"/>
      <c r="H61" s="125" t="s">
        <v>325</v>
      </c>
      <c r="I61" s="125"/>
    </row>
    <row r="62" spans="1:9">
      <c r="A62" s="123" t="s">
        <v>326</v>
      </c>
      <c r="B62" s="123" t="s">
        <v>39</v>
      </c>
      <c r="C62" s="124">
        <f>-6418807.07</f>
        <v>-6418807.07</v>
      </c>
      <c r="D62" s="125" t="s">
        <v>15</v>
      </c>
      <c r="E62" s="125">
        <f t="shared" si="2"/>
        <v>6418807.07</v>
      </c>
      <c r="F62" s="125" t="s">
        <v>5</v>
      </c>
      <c r="G62" s="125"/>
      <c r="H62" s="125" t="s">
        <v>327</v>
      </c>
      <c r="I62" s="125"/>
    </row>
    <row r="63" spans="1:9">
      <c r="A63" s="123" t="s">
        <v>328</v>
      </c>
      <c r="B63" s="123" t="s">
        <v>41</v>
      </c>
      <c r="C63" s="127">
        <v>1233043.48</v>
      </c>
      <c r="D63" s="125" t="s">
        <v>7</v>
      </c>
      <c r="E63" s="125">
        <f t="shared" si="2"/>
        <v>-1233043.48</v>
      </c>
      <c r="F63" s="125" t="s">
        <v>5</v>
      </c>
      <c r="G63" s="125"/>
      <c r="H63" s="128" t="s">
        <v>329</v>
      </c>
      <c r="I63" s="125"/>
    </row>
    <row r="64" spans="1:9">
      <c r="A64" s="123" t="s">
        <v>330</v>
      </c>
      <c r="B64" s="123" t="s">
        <v>36</v>
      </c>
      <c r="C64" s="127">
        <v>25097106.28</v>
      </c>
      <c r="D64" s="125" t="s">
        <v>7</v>
      </c>
      <c r="E64" s="125">
        <f t="shared" si="2"/>
        <v>-25097106.28</v>
      </c>
      <c r="F64" s="125" t="s">
        <v>6</v>
      </c>
      <c r="G64" s="125"/>
      <c r="H64" s="125" t="s">
        <v>331</v>
      </c>
      <c r="I64" s="125"/>
    </row>
    <row r="65" spans="1:9">
      <c r="A65" s="123" t="s">
        <v>332</v>
      </c>
      <c r="B65" s="123" t="s">
        <v>36</v>
      </c>
      <c r="C65" s="125">
        <v>3135555.55555556</v>
      </c>
      <c r="D65" s="125" t="s">
        <v>23</v>
      </c>
      <c r="E65" s="125">
        <f t="shared" si="2"/>
        <v>-3135555.55555556</v>
      </c>
      <c r="F65" s="125" t="s">
        <v>6</v>
      </c>
      <c r="G65" s="125"/>
      <c r="H65" s="125" t="s">
        <v>333</v>
      </c>
      <c r="I65" s="125"/>
    </row>
    <row r="66" spans="1:11">
      <c r="A66" s="123" t="s">
        <v>334</v>
      </c>
      <c r="B66" s="123" t="s">
        <v>36</v>
      </c>
      <c r="C66" s="124">
        <v>160666.666666667</v>
      </c>
      <c r="D66" s="125" t="s">
        <v>24</v>
      </c>
      <c r="E66" s="125">
        <f t="shared" si="2"/>
        <v>-160666.666666667</v>
      </c>
      <c r="F66" s="125" t="s">
        <v>6</v>
      </c>
      <c r="G66" s="125"/>
      <c r="H66" s="125" t="s">
        <v>335</v>
      </c>
      <c r="I66" s="125"/>
      <c r="K66" s="114"/>
    </row>
    <row r="67" spans="1:9">
      <c r="A67" s="123" t="s">
        <v>336</v>
      </c>
      <c r="B67" s="125" t="s">
        <v>36</v>
      </c>
      <c r="C67" s="124">
        <v>-273781.44</v>
      </c>
      <c r="D67" s="125" t="s">
        <v>12</v>
      </c>
      <c r="E67" s="125">
        <f t="shared" si="2"/>
        <v>273781.44</v>
      </c>
      <c r="F67" s="125" t="s">
        <v>6</v>
      </c>
      <c r="G67" s="125"/>
      <c r="H67" s="125" t="s">
        <v>337</v>
      </c>
      <c r="I67" s="125"/>
    </row>
    <row r="68" spans="1:9">
      <c r="A68" s="123" t="s">
        <v>338</v>
      </c>
      <c r="B68" s="125" t="s">
        <v>37</v>
      </c>
      <c r="C68" s="125">
        <v>-1133537.05</v>
      </c>
      <c r="D68" s="125" t="s">
        <v>14</v>
      </c>
      <c r="E68" s="125">
        <f t="shared" si="2"/>
        <v>1133537.05</v>
      </c>
      <c r="F68" s="125" t="s">
        <v>6</v>
      </c>
      <c r="G68" s="125"/>
      <c r="H68" s="128" t="s">
        <v>339</v>
      </c>
      <c r="I68" s="125"/>
    </row>
    <row r="69" spans="1:9">
      <c r="A69" s="123" t="s">
        <v>340</v>
      </c>
      <c r="B69" s="125" t="s">
        <v>34</v>
      </c>
      <c r="C69" s="130">
        <f>5111551.33-1182641.51</f>
        <v>3928909.82</v>
      </c>
      <c r="D69" s="125" t="s">
        <v>7</v>
      </c>
      <c r="E69" s="125">
        <f t="shared" si="2"/>
        <v>-3928909.82</v>
      </c>
      <c r="F69" s="125" t="s">
        <v>5</v>
      </c>
      <c r="G69" s="125"/>
      <c r="H69" s="131" t="s">
        <v>341</v>
      </c>
      <c r="I69" s="125"/>
    </row>
    <row r="70" spans="1:10">
      <c r="A70" s="123" t="s">
        <v>342</v>
      </c>
      <c r="B70" s="131" t="s">
        <v>36</v>
      </c>
      <c r="C70" s="124">
        <v>-100997.03</v>
      </c>
      <c r="D70" s="131" t="s">
        <v>19</v>
      </c>
      <c r="E70" s="131">
        <f t="shared" si="2"/>
        <v>100997.03</v>
      </c>
      <c r="F70" s="131" t="s">
        <v>6</v>
      </c>
      <c r="G70" s="131"/>
      <c r="H70" s="131" t="s">
        <v>343</v>
      </c>
      <c r="I70" s="125"/>
      <c r="J70" s="151"/>
    </row>
    <row r="71" spans="1:9">
      <c r="A71" s="123" t="s">
        <v>344</v>
      </c>
      <c r="B71" s="125" t="s">
        <v>41</v>
      </c>
      <c r="C71" s="130">
        <v>2567592.62</v>
      </c>
      <c r="D71" s="125" t="s">
        <v>7</v>
      </c>
      <c r="E71" s="125">
        <f t="shared" si="2"/>
        <v>-2567592.62</v>
      </c>
      <c r="F71" s="125" t="s">
        <v>5</v>
      </c>
      <c r="G71" s="125"/>
      <c r="H71" s="125" t="s">
        <v>345</v>
      </c>
      <c r="I71" s="125"/>
    </row>
    <row r="72" spans="1:9">
      <c r="A72" s="123" t="s">
        <v>346</v>
      </c>
      <c r="B72" s="125" t="s">
        <v>34</v>
      </c>
      <c r="C72" s="124">
        <v>566037.73</v>
      </c>
      <c r="D72" s="125" t="s">
        <v>23</v>
      </c>
      <c r="E72" s="125">
        <f t="shared" si="2"/>
        <v>-566037.73</v>
      </c>
      <c r="F72" s="132" t="s">
        <v>29</v>
      </c>
      <c r="G72" s="132"/>
      <c r="H72" s="125" t="s">
        <v>347</v>
      </c>
      <c r="I72" s="132"/>
    </row>
    <row r="73" s="96" customFormat="1" ht="18.75" customHeight="1" spans="1:22">
      <c r="A73" s="133" t="s">
        <v>348</v>
      </c>
      <c r="B73" s="134" t="s">
        <v>35</v>
      </c>
      <c r="C73" s="135">
        <v>-660218.43</v>
      </c>
      <c r="D73" s="134" t="s">
        <v>11</v>
      </c>
      <c r="E73" s="134">
        <f t="shared" si="2"/>
        <v>660218.43</v>
      </c>
      <c r="F73" s="136" t="s">
        <v>7</v>
      </c>
      <c r="G73" s="136"/>
      <c r="H73" s="134" t="s">
        <v>349</v>
      </c>
      <c r="I73" s="152" t="s">
        <v>350</v>
      </c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</row>
    <row r="74" spans="1:9">
      <c r="A74" s="123" t="s">
        <v>351</v>
      </c>
      <c r="B74" s="123" t="s">
        <v>35</v>
      </c>
      <c r="C74" s="124">
        <v>-387613.018867925</v>
      </c>
      <c r="D74" s="125" t="s">
        <v>9</v>
      </c>
      <c r="E74" s="125">
        <f t="shared" si="2"/>
        <v>387613.018867925</v>
      </c>
      <c r="F74" s="125" t="s">
        <v>7</v>
      </c>
      <c r="G74" s="125"/>
      <c r="H74" s="125" t="s">
        <v>352</v>
      </c>
      <c r="I74" s="125" t="s">
        <v>353</v>
      </c>
    </row>
    <row r="75" spans="1:9">
      <c r="A75" s="123" t="s">
        <v>354</v>
      </c>
      <c r="B75" s="125" t="s">
        <v>35</v>
      </c>
      <c r="C75" s="124">
        <v>-1575985.55</v>
      </c>
      <c r="D75" s="125" t="s">
        <v>9</v>
      </c>
      <c r="E75" s="125">
        <f t="shared" si="2"/>
        <v>1575985.55</v>
      </c>
      <c r="F75" s="132" t="s">
        <v>5</v>
      </c>
      <c r="G75" s="132"/>
      <c r="H75" s="125" t="s">
        <v>355</v>
      </c>
      <c r="I75" s="132"/>
    </row>
    <row r="76" spans="1:9">
      <c r="A76" s="123" t="s">
        <v>356</v>
      </c>
      <c r="B76" s="125" t="s">
        <v>37</v>
      </c>
      <c r="C76" s="124">
        <v>1575985.55</v>
      </c>
      <c r="D76" s="125" t="s">
        <v>9</v>
      </c>
      <c r="E76" s="125">
        <f t="shared" si="2"/>
        <v>-1575985.55</v>
      </c>
      <c r="F76" s="125" t="s">
        <v>5</v>
      </c>
      <c r="G76" s="125"/>
      <c r="H76" s="125" t="s">
        <v>357</v>
      </c>
      <c r="I76" s="125"/>
    </row>
    <row r="77" spans="1:9">
      <c r="A77" s="123" t="s">
        <v>358</v>
      </c>
      <c r="B77" s="125" t="s">
        <v>35</v>
      </c>
      <c r="C77" s="124">
        <f>-358490.57</f>
        <v>-358490.57</v>
      </c>
      <c r="D77" s="125" t="s">
        <v>9</v>
      </c>
      <c r="E77" s="125">
        <f t="shared" ref="E77:E85" si="3">-C77</f>
        <v>358490.57</v>
      </c>
      <c r="F77" s="125" t="s">
        <v>23</v>
      </c>
      <c r="G77" s="125"/>
      <c r="H77" s="125" t="s">
        <v>359</v>
      </c>
      <c r="I77" s="125"/>
    </row>
    <row r="78" spans="1:9">
      <c r="A78" s="123" t="s">
        <v>360</v>
      </c>
      <c r="B78" s="123" t="s">
        <v>39</v>
      </c>
      <c r="C78" s="124">
        <v>-28793.28</v>
      </c>
      <c r="D78" s="125" t="s">
        <v>18</v>
      </c>
      <c r="E78" s="125">
        <f t="shared" si="3"/>
        <v>28793.28</v>
      </c>
      <c r="F78" s="125" t="s">
        <v>22</v>
      </c>
      <c r="G78" s="125"/>
      <c r="H78" s="125" t="s">
        <v>361</v>
      </c>
      <c r="I78" s="125"/>
    </row>
    <row r="79" spans="1:9">
      <c r="A79" s="123" t="s">
        <v>362</v>
      </c>
      <c r="B79" s="123" t="s">
        <v>37</v>
      </c>
      <c r="C79" s="124">
        <v>94002.15</v>
      </c>
      <c r="D79" s="125" t="s">
        <v>18</v>
      </c>
      <c r="E79" s="125">
        <f t="shared" si="3"/>
        <v>-94002.15</v>
      </c>
      <c r="F79" s="125" t="s">
        <v>22</v>
      </c>
      <c r="G79" s="125"/>
      <c r="H79" s="125" t="s">
        <v>361</v>
      </c>
      <c r="I79" s="125"/>
    </row>
    <row r="80" spans="1:9">
      <c r="A80" s="123" t="s">
        <v>363</v>
      </c>
      <c r="B80" s="123" t="s">
        <v>39</v>
      </c>
      <c r="C80" s="124">
        <v>1280910.9</v>
      </c>
      <c r="D80" s="125" t="s">
        <v>14</v>
      </c>
      <c r="E80" s="125">
        <f t="shared" si="3"/>
        <v>-1280910.9</v>
      </c>
      <c r="F80" s="125" t="s">
        <v>16</v>
      </c>
      <c r="G80" s="125"/>
      <c r="H80" s="137" t="s">
        <v>364</v>
      </c>
      <c r="I80" s="125"/>
    </row>
    <row r="81" spans="1:9">
      <c r="A81" s="123" t="s">
        <v>365</v>
      </c>
      <c r="B81" s="123" t="s">
        <v>35</v>
      </c>
      <c r="C81" s="124">
        <v>-1986462.67</v>
      </c>
      <c r="D81" s="125" t="s">
        <v>11</v>
      </c>
      <c r="E81" s="125">
        <f t="shared" si="3"/>
        <v>1986462.67</v>
      </c>
      <c r="F81" s="125" t="s">
        <v>16</v>
      </c>
      <c r="G81" s="125"/>
      <c r="H81" s="125" t="s">
        <v>366</v>
      </c>
      <c r="I81" s="125"/>
    </row>
    <row r="82" spans="1:9">
      <c r="A82" s="123" t="s">
        <v>367</v>
      </c>
      <c r="B82" s="123" t="s">
        <v>35</v>
      </c>
      <c r="C82" s="138">
        <v>-10462.17</v>
      </c>
      <c r="D82" s="125" t="s">
        <v>11</v>
      </c>
      <c r="E82" s="125">
        <f t="shared" si="3"/>
        <v>10462.17</v>
      </c>
      <c r="F82" s="125" t="s">
        <v>16</v>
      </c>
      <c r="G82" s="125"/>
      <c r="H82" s="131" t="s">
        <v>368</v>
      </c>
      <c r="I82" s="125"/>
    </row>
    <row r="83" spans="1:9">
      <c r="A83" s="123" t="s">
        <v>369</v>
      </c>
      <c r="B83" s="123" t="s">
        <v>35</v>
      </c>
      <c r="C83" s="124">
        <v>-63660.44</v>
      </c>
      <c r="D83" s="125" t="s">
        <v>11</v>
      </c>
      <c r="E83" s="125">
        <f t="shared" si="3"/>
        <v>63660.44</v>
      </c>
      <c r="F83" s="125" t="s">
        <v>16</v>
      </c>
      <c r="G83" s="125"/>
      <c r="H83" s="125" t="s">
        <v>370</v>
      </c>
      <c r="I83" s="125"/>
    </row>
    <row r="84" spans="1:11">
      <c r="A84" s="123" t="s">
        <v>371</v>
      </c>
      <c r="B84" s="125" t="s">
        <v>35</v>
      </c>
      <c r="C84" s="139">
        <v>-252356</v>
      </c>
      <c r="D84" s="125" t="s">
        <v>11</v>
      </c>
      <c r="E84" s="125">
        <f t="shared" si="3"/>
        <v>252356</v>
      </c>
      <c r="F84" s="125" t="s">
        <v>16</v>
      </c>
      <c r="G84" s="132"/>
      <c r="H84" s="125" t="s">
        <v>372</v>
      </c>
      <c r="I84" s="132"/>
      <c r="K84" s="154">
        <f>C85+E73+E74+E86+E87+E88+E89+E97+E98+E123+E127+E128</f>
        <v>3153505.75184906</v>
      </c>
    </row>
    <row r="85" s="97" customFormat="1" customHeight="1" spans="1:22">
      <c r="A85" s="123" t="s">
        <v>326</v>
      </c>
      <c r="B85" s="123" t="s">
        <v>35</v>
      </c>
      <c r="C85" s="130">
        <v>14465.82</v>
      </c>
      <c r="D85" s="125" t="s">
        <v>7</v>
      </c>
      <c r="E85" s="125">
        <f t="shared" si="3"/>
        <v>-14465.82</v>
      </c>
      <c r="F85" s="125" t="s">
        <v>11</v>
      </c>
      <c r="G85" s="125"/>
      <c r="H85" s="125" t="s">
        <v>373</v>
      </c>
      <c r="I85" s="125"/>
      <c r="J85" s="98"/>
      <c r="K85" s="155">
        <f>C74+C75+C77+C86+C87+C88+C89+C97+C98+C124+C126+C127+E116+E115+E114+E111+E110+E109+E108+E107+E106</f>
        <v>8227292.06871698</v>
      </c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</row>
    <row r="86" spans="1:11">
      <c r="A86" s="123" t="s">
        <v>374</v>
      </c>
      <c r="B86" s="125" t="s">
        <v>35</v>
      </c>
      <c r="C86" s="125">
        <f>-(540000-80000)/1.06</f>
        <v>-433962.264150943</v>
      </c>
      <c r="D86" s="125" t="s">
        <v>9</v>
      </c>
      <c r="E86" s="125">
        <f t="shared" ref="E86:E102" si="4">-C86</f>
        <v>433962.264150943</v>
      </c>
      <c r="F86" s="132" t="s">
        <v>7</v>
      </c>
      <c r="G86" s="132"/>
      <c r="H86" s="132" t="s">
        <v>375</v>
      </c>
      <c r="I86" s="132" t="s">
        <v>376</v>
      </c>
      <c r="K86" s="154">
        <f>C73+C81+C82+C83+C84+C116+E85</f>
        <v>-3202725.53</v>
      </c>
    </row>
    <row r="87" spans="1:11">
      <c r="A87" s="123" t="s">
        <v>377</v>
      </c>
      <c r="B87" s="123" t="s">
        <v>35</v>
      </c>
      <c r="C87" s="125">
        <f>-(71707.72+36247.86+35853.86)*0.9</f>
        <v>-129428.496</v>
      </c>
      <c r="D87" s="125" t="s">
        <v>9</v>
      </c>
      <c r="E87" s="125">
        <f t="shared" si="4"/>
        <v>129428.496</v>
      </c>
      <c r="F87" s="125" t="s">
        <v>7</v>
      </c>
      <c r="G87" s="125"/>
      <c r="H87" s="125" t="s">
        <v>378</v>
      </c>
      <c r="I87" s="125" t="s">
        <v>379</v>
      </c>
      <c r="K87" s="154">
        <f>C108+E81+E82+E83+E84</f>
        <v>2097841.28</v>
      </c>
    </row>
    <row r="88" spans="1:11">
      <c r="A88" s="123" t="s">
        <v>380</v>
      </c>
      <c r="B88" s="123" t="s">
        <v>35</v>
      </c>
      <c r="C88" s="125">
        <f>-(241666.67-20000+370555.56-20000+370555.56-20000+366527.78-20000)/1.06</f>
        <v>-1197458.08490566</v>
      </c>
      <c r="D88" s="125" t="s">
        <v>9</v>
      </c>
      <c r="E88" s="125">
        <f t="shared" si="4"/>
        <v>1197458.08490566</v>
      </c>
      <c r="F88" s="125" t="s">
        <v>7</v>
      </c>
      <c r="G88" s="125"/>
      <c r="H88" s="125" t="s">
        <v>381</v>
      </c>
      <c r="I88" s="125" t="s">
        <v>382</v>
      </c>
      <c r="K88" s="154">
        <f>考核调整事项表!C111</f>
        <v>-566500</v>
      </c>
    </row>
    <row r="89" spans="1:11">
      <c r="A89" s="123" t="s">
        <v>383</v>
      </c>
      <c r="B89" s="123" t="s">
        <v>35</v>
      </c>
      <c r="C89" s="125">
        <f>-(147706.85-25000+209071.23-25000)/1.06</f>
        <v>-289413.283018868</v>
      </c>
      <c r="D89" s="125" t="s">
        <v>9</v>
      </c>
      <c r="E89" s="125">
        <f t="shared" si="4"/>
        <v>289413.283018868</v>
      </c>
      <c r="F89" s="125" t="s">
        <v>7</v>
      </c>
      <c r="G89" s="125"/>
      <c r="H89" s="125" t="s">
        <v>384</v>
      </c>
      <c r="I89" s="125" t="s">
        <v>385</v>
      </c>
      <c r="K89" s="154">
        <f>C110</f>
        <v>-144900</v>
      </c>
    </row>
    <row r="90" spans="1:9">
      <c r="A90" s="123" t="s">
        <v>386</v>
      </c>
      <c r="B90" s="123" t="s">
        <v>34</v>
      </c>
      <c r="C90" s="125">
        <v>-597358.490566038</v>
      </c>
      <c r="D90" s="125" t="s">
        <v>22</v>
      </c>
      <c r="E90" s="125">
        <f t="shared" si="4"/>
        <v>597358.490566038</v>
      </c>
      <c r="F90" s="132" t="s">
        <v>5</v>
      </c>
      <c r="G90" s="132"/>
      <c r="H90" s="140" t="s">
        <v>387</v>
      </c>
      <c r="I90" s="132"/>
    </row>
    <row r="91" spans="1:9">
      <c r="A91" s="123" t="s">
        <v>388</v>
      </c>
      <c r="B91" s="123" t="s">
        <v>37</v>
      </c>
      <c r="C91" s="124">
        <v>6818966.48</v>
      </c>
      <c r="D91" s="125" t="s">
        <v>17</v>
      </c>
      <c r="E91" s="125">
        <f t="shared" si="4"/>
        <v>-6818966.48</v>
      </c>
      <c r="F91" s="125" t="s">
        <v>12</v>
      </c>
      <c r="G91" s="132"/>
      <c r="H91" s="125" t="s">
        <v>389</v>
      </c>
      <c r="I91" s="132"/>
    </row>
    <row r="92" spans="1:9">
      <c r="A92" s="123" t="s">
        <v>390</v>
      </c>
      <c r="B92" s="125" t="s">
        <v>39</v>
      </c>
      <c r="C92" s="124">
        <v>-3545907.35</v>
      </c>
      <c r="D92" s="125" t="s">
        <v>17</v>
      </c>
      <c r="E92" s="125">
        <f t="shared" si="4"/>
        <v>3545907.35</v>
      </c>
      <c r="F92" s="132" t="s">
        <v>12</v>
      </c>
      <c r="G92" s="132"/>
      <c r="H92" s="125" t="s">
        <v>391</v>
      </c>
      <c r="I92" s="132"/>
    </row>
    <row r="93" spans="1:9">
      <c r="A93" s="123" t="s">
        <v>392</v>
      </c>
      <c r="B93" s="125" t="s">
        <v>36</v>
      </c>
      <c r="C93" s="124">
        <v>-2604102.4</v>
      </c>
      <c r="D93" s="125" t="s">
        <v>17</v>
      </c>
      <c r="E93" s="125">
        <f t="shared" si="4"/>
        <v>2604102.4</v>
      </c>
      <c r="F93" s="132" t="s">
        <v>12</v>
      </c>
      <c r="G93" s="132"/>
      <c r="H93" s="125" t="s">
        <v>393</v>
      </c>
      <c r="I93" s="132"/>
    </row>
    <row r="94" spans="1:9">
      <c r="A94" s="123" t="s">
        <v>394</v>
      </c>
      <c r="B94" s="125" t="s">
        <v>33</v>
      </c>
      <c r="C94" s="124">
        <v>-37735.85</v>
      </c>
      <c r="D94" s="125" t="s">
        <v>17</v>
      </c>
      <c r="E94" s="125">
        <f t="shared" si="4"/>
        <v>37735.85</v>
      </c>
      <c r="F94" s="132" t="s">
        <v>12</v>
      </c>
      <c r="G94" s="132"/>
      <c r="H94" s="132" t="s">
        <v>395</v>
      </c>
      <c r="I94" s="132"/>
    </row>
    <row r="95" spans="1:9">
      <c r="A95" s="123" t="s">
        <v>396</v>
      </c>
      <c r="B95" s="123" t="s">
        <v>39</v>
      </c>
      <c r="C95" s="124"/>
      <c r="D95" s="125" t="s">
        <v>19</v>
      </c>
      <c r="E95" s="125">
        <f t="shared" si="4"/>
        <v>0</v>
      </c>
      <c r="F95" s="125" t="s">
        <v>5</v>
      </c>
      <c r="G95" s="132"/>
      <c r="H95" s="125" t="s">
        <v>397</v>
      </c>
      <c r="I95" s="132"/>
    </row>
    <row r="96" spans="1:9">
      <c r="A96" s="123"/>
      <c r="B96" s="123" t="s">
        <v>37</v>
      </c>
      <c r="C96" s="124">
        <v>-255139.7</v>
      </c>
      <c r="D96" s="125" t="s">
        <v>19</v>
      </c>
      <c r="E96" s="125">
        <f t="shared" si="4"/>
        <v>255139.7</v>
      </c>
      <c r="F96" s="132" t="s">
        <v>7</v>
      </c>
      <c r="G96" s="132"/>
      <c r="H96" s="132" t="s">
        <v>398</v>
      </c>
      <c r="I96" s="132"/>
    </row>
    <row r="97" spans="1:11">
      <c r="A97" s="123" t="s">
        <v>399</v>
      </c>
      <c r="B97" s="123" t="s">
        <v>35</v>
      </c>
      <c r="C97" s="125">
        <v>-33176.1</v>
      </c>
      <c r="D97" s="125" t="s">
        <v>9</v>
      </c>
      <c r="E97" s="125">
        <f t="shared" si="4"/>
        <v>33176.1</v>
      </c>
      <c r="F97" s="132" t="s">
        <v>7</v>
      </c>
      <c r="G97" s="132"/>
      <c r="H97" s="125" t="s">
        <v>400</v>
      </c>
      <c r="I97" s="125" t="s">
        <v>401</v>
      </c>
      <c r="K97" s="154">
        <f>C114+C123+C128</f>
        <v>-154850.2</v>
      </c>
    </row>
    <row r="98" spans="1:11">
      <c r="A98" s="123" t="s">
        <v>402</v>
      </c>
      <c r="B98" s="123" t="s">
        <v>35</v>
      </c>
      <c r="C98" s="141">
        <v>50244.53</v>
      </c>
      <c r="D98" s="125" t="s">
        <v>9</v>
      </c>
      <c r="E98" s="125">
        <f t="shared" si="4"/>
        <v>-50244.53</v>
      </c>
      <c r="F98" s="132" t="s">
        <v>7</v>
      </c>
      <c r="G98" s="132"/>
      <c r="H98" s="125" t="s">
        <v>403</v>
      </c>
      <c r="I98" s="156" t="s">
        <v>404</v>
      </c>
      <c r="K98" s="154">
        <f>E75</f>
        <v>1575985.55</v>
      </c>
    </row>
    <row r="99" s="97" customFormat="1" spans="1:22">
      <c r="A99" s="123" t="s">
        <v>356</v>
      </c>
      <c r="B99" s="125" t="s">
        <v>32</v>
      </c>
      <c r="C99" s="141">
        <v>650943</v>
      </c>
      <c r="D99" s="125" t="s">
        <v>15</v>
      </c>
      <c r="E99" s="125">
        <f t="shared" si="4"/>
        <v>-650943</v>
      </c>
      <c r="F99" s="125" t="s">
        <v>16</v>
      </c>
      <c r="G99" s="125"/>
      <c r="H99" s="125" t="s">
        <v>405</v>
      </c>
      <c r="I99" s="125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</row>
    <row r="100" spans="1:9">
      <c r="A100" s="123"/>
      <c r="B100" s="123" t="s">
        <v>33</v>
      </c>
      <c r="C100" s="141">
        <v>-112109.08</v>
      </c>
      <c r="D100" s="125" t="s">
        <v>16</v>
      </c>
      <c r="E100" s="125">
        <f t="shared" si="4"/>
        <v>112109.08</v>
      </c>
      <c r="F100" s="132" t="s">
        <v>7</v>
      </c>
      <c r="G100" s="132"/>
      <c r="H100" s="132" t="s">
        <v>406</v>
      </c>
      <c r="I100" s="156"/>
    </row>
    <row r="101" s="97" customFormat="1" spans="1:22">
      <c r="A101" s="123"/>
      <c r="B101" s="123" t="s">
        <v>34</v>
      </c>
      <c r="C101" s="125">
        <f>8000000/1.06</f>
        <v>7547169.81132075</v>
      </c>
      <c r="D101" s="125" t="s">
        <v>23</v>
      </c>
      <c r="E101" s="125">
        <f t="shared" si="4"/>
        <v>-7547169.81132075</v>
      </c>
      <c r="F101" s="132" t="s">
        <v>5</v>
      </c>
      <c r="G101" s="132"/>
      <c r="H101" s="132" t="s">
        <v>407</v>
      </c>
      <c r="I101" s="125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</row>
    <row r="102" spans="1:9">
      <c r="A102" s="123" t="s">
        <v>408</v>
      </c>
      <c r="B102" s="125" t="s">
        <v>34</v>
      </c>
      <c r="C102" s="142">
        <v>80000</v>
      </c>
      <c r="D102" s="125" t="s">
        <v>7</v>
      </c>
      <c r="E102" s="125">
        <f t="shared" si="4"/>
        <v>-80000</v>
      </c>
      <c r="F102" s="125" t="s">
        <v>23</v>
      </c>
      <c r="G102" s="125"/>
      <c r="H102" s="132" t="s">
        <v>409</v>
      </c>
      <c r="I102" s="132"/>
    </row>
    <row r="103" s="97" customFormat="1" spans="1:22">
      <c r="A103" s="123" t="s">
        <v>320</v>
      </c>
      <c r="B103" s="123" t="s">
        <v>39</v>
      </c>
      <c r="C103" s="125">
        <v>-607561.75</v>
      </c>
      <c r="D103" s="125" t="s">
        <v>25</v>
      </c>
      <c r="E103" s="125">
        <f t="shared" ref="E103:E119" si="5">-C103</f>
        <v>607561.75</v>
      </c>
      <c r="F103" s="132" t="s">
        <v>18</v>
      </c>
      <c r="G103" s="132"/>
      <c r="H103" s="132" t="s">
        <v>410</v>
      </c>
      <c r="I103" s="132" t="s">
        <v>411</v>
      </c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</row>
    <row r="104" s="98" customFormat="1" spans="1:10">
      <c r="A104" s="123" t="s">
        <v>312</v>
      </c>
      <c r="B104" s="123" t="s">
        <v>34</v>
      </c>
      <c r="C104" s="125">
        <v>-9433.96</v>
      </c>
      <c r="D104" s="125" t="s">
        <v>23</v>
      </c>
      <c r="E104" s="125">
        <f t="shared" si="5"/>
        <v>9433.96</v>
      </c>
      <c r="F104" s="125" t="s">
        <v>5</v>
      </c>
      <c r="G104" s="125"/>
      <c r="H104" s="125" t="s">
        <v>387</v>
      </c>
      <c r="I104" s="125"/>
      <c r="J104" s="98" t="s">
        <v>412</v>
      </c>
    </row>
    <row r="105" s="97" customFormat="1" spans="1:22">
      <c r="A105" s="123" t="s">
        <v>322</v>
      </c>
      <c r="B105" s="123" t="s">
        <v>37</v>
      </c>
      <c r="C105" s="125">
        <v>17651.75</v>
      </c>
      <c r="D105" s="125" t="s">
        <v>25</v>
      </c>
      <c r="E105" s="125">
        <f t="shared" si="5"/>
        <v>-17651.75</v>
      </c>
      <c r="F105" s="132" t="s">
        <v>18</v>
      </c>
      <c r="G105" s="132"/>
      <c r="H105" s="132" t="s">
        <v>410</v>
      </c>
      <c r="I105" s="132"/>
      <c r="J105" s="157">
        <f>J104*0.0175/1.06</f>
        <v>292070.493419811</v>
      </c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</row>
    <row r="106" s="97" customFormat="1" customHeight="1" spans="1:22">
      <c r="A106" s="123" t="s">
        <v>291</v>
      </c>
      <c r="B106" s="123" t="s">
        <v>35</v>
      </c>
      <c r="C106" s="125">
        <v>-236700</v>
      </c>
      <c r="D106" s="125" t="s">
        <v>15</v>
      </c>
      <c r="E106" s="125">
        <f t="shared" si="5"/>
        <v>236700</v>
      </c>
      <c r="F106" s="125" t="s">
        <v>9</v>
      </c>
      <c r="G106" s="125"/>
      <c r="H106" s="125" t="s">
        <v>413</v>
      </c>
      <c r="I106" s="125"/>
      <c r="J106" s="158"/>
      <c r="K106" s="155">
        <f>C115+E124+E126</f>
        <v>-5755639.49056604</v>
      </c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</row>
    <row r="107" s="97" customFormat="1" customHeight="1" spans="1:22">
      <c r="A107" s="123" t="s">
        <v>307</v>
      </c>
      <c r="B107" s="123" t="s">
        <v>35</v>
      </c>
      <c r="C107" s="125">
        <v>-230700</v>
      </c>
      <c r="D107" s="125" t="s">
        <v>14</v>
      </c>
      <c r="E107" s="125">
        <f t="shared" si="5"/>
        <v>230700</v>
      </c>
      <c r="F107" s="125" t="s">
        <v>9</v>
      </c>
      <c r="G107" s="125"/>
      <c r="H107" s="125" t="s">
        <v>413</v>
      </c>
      <c r="I107" s="125"/>
      <c r="J107" s="158"/>
      <c r="K107" s="155">
        <f>C109</f>
        <v>-5121100</v>
      </c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</row>
    <row r="108" s="97" customFormat="1" customHeight="1" spans="1:22">
      <c r="A108" s="123"/>
      <c r="B108" s="123" t="s">
        <v>35</v>
      </c>
      <c r="C108" s="125">
        <v>-215100</v>
      </c>
      <c r="D108" s="125" t="s">
        <v>16</v>
      </c>
      <c r="E108" s="125">
        <f t="shared" si="5"/>
        <v>215100</v>
      </c>
      <c r="F108" s="125" t="s">
        <v>9</v>
      </c>
      <c r="G108" s="125"/>
      <c r="H108" s="125" t="s">
        <v>413</v>
      </c>
      <c r="I108" s="125"/>
      <c r="J108" s="158"/>
      <c r="K108" s="155">
        <f>C106</f>
        <v>-236700</v>
      </c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</row>
    <row r="109" s="97" customFormat="1" customHeight="1" spans="1:22">
      <c r="A109" s="123"/>
      <c r="B109" s="123" t="s">
        <v>35</v>
      </c>
      <c r="C109" s="125">
        <v>-5121100</v>
      </c>
      <c r="D109" s="125" t="s">
        <v>17</v>
      </c>
      <c r="E109" s="125">
        <f t="shared" si="5"/>
        <v>5121100</v>
      </c>
      <c r="F109" s="125" t="s">
        <v>9</v>
      </c>
      <c r="G109" s="125"/>
      <c r="H109" s="125" t="s">
        <v>413</v>
      </c>
      <c r="I109" s="125"/>
      <c r="J109" s="158"/>
      <c r="K109" s="155">
        <f>C107</f>
        <v>-230700</v>
      </c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</row>
    <row r="110" s="97" customFormat="1" customHeight="1" spans="1:22">
      <c r="A110" s="123"/>
      <c r="B110" s="123" t="s">
        <v>35</v>
      </c>
      <c r="C110" s="125">
        <v>-144900</v>
      </c>
      <c r="D110" s="125" t="s">
        <v>19</v>
      </c>
      <c r="E110" s="125">
        <f t="shared" si="5"/>
        <v>144900</v>
      </c>
      <c r="F110" s="132" t="s">
        <v>9</v>
      </c>
      <c r="G110" s="125"/>
      <c r="H110" s="125" t="s">
        <v>413</v>
      </c>
      <c r="I110" s="125"/>
      <c r="J110" s="158"/>
      <c r="K110" s="157">
        <f>E77</f>
        <v>358490.57</v>
      </c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</row>
    <row r="111" s="97" customFormat="1" customHeight="1" spans="1:22">
      <c r="A111" s="123"/>
      <c r="B111" s="123" t="s">
        <v>35</v>
      </c>
      <c r="C111" s="125">
        <v>-566500</v>
      </c>
      <c r="D111" s="125" t="s">
        <v>18</v>
      </c>
      <c r="E111" s="125">
        <f t="shared" si="5"/>
        <v>566500</v>
      </c>
      <c r="F111" s="132" t="s">
        <v>9</v>
      </c>
      <c r="G111" s="125"/>
      <c r="H111" s="125" t="s">
        <v>413</v>
      </c>
      <c r="I111" s="125"/>
      <c r="J111" s="158"/>
      <c r="K111" s="157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</row>
    <row r="112" s="97" customFormat="1" customHeight="1" spans="1:22">
      <c r="A112" s="123"/>
      <c r="B112" s="123" t="s">
        <v>37</v>
      </c>
      <c r="C112" s="143">
        <v>2267638.51</v>
      </c>
      <c r="D112" s="125" t="s">
        <v>17</v>
      </c>
      <c r="E112" s="125">
        <f t="shared" si="5"/>
        <v>-2267638.51</v>
      </c>
      <c r="F112" s="125" t="s">
        <v>19</v>
      </c>
      <c r="G112" s="125"/>
      <c r="H112" s="125" t="s">
        <v>313</v>
      </c>
      <c r="I112" s="125"/>
      <c r="J112" s="15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</row>
    <row r="113" s="97" customFormat="1" customHeight="1" spans="1:22">
      <c r="A113" s="123"/>
      <c r="B113" s="123" t="s">
        <v>39</v>
      </c>
      <c r="C113" s="125">
        <v>928836.45</v>
      </c>
      <c r="D113" s="125" t="s">
        <v>17</v>
      </c>
      <c r="E113" s="125">
        <f t="shared" si="5"/>
        <v>-928836.45</v>
      </c>
      <c r="F113" s="125" t="s">
        <v>14</v>
      </c>
      <c r="G113" s="125"/>
      <c r="H113" s="125" t="s">
        <v>310</v>
      </c>
      <c r="I113" s="125"/>
      <c r="J113" s="158">
        <v>-6215430.32037736</v>
      </c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</row>
    <row r="114" s="97" customFormat="1" spans="1:22">
      <c r="A114" s="123" t="s">
        <v>414</v>
      </c>
      <c r="B114" s="123" t="s">
        <v>35</v>
      </c>
      <c r="C114" s="125">
        <v>-132100</v>
      </c>
      <c r="D114" s="125" t="s">
        <v>12</v>
      </c>
      <c r="E114" s="125">
        <f t="shared" si="5"/>
        <v>132100</v>
      </c>
      <c r="F114" s="132" t="s">
        <v>9</v>
      </c>
      <c r="G114" s="132"/>
      <c r="H114" s="132" t="s">
        <v>415</v>
      </c>
      <c r="I114" s="132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</row>
    <row r="115" s="97" customFormat="1" spans="1:22">
      <c r="A115" s="123" t="s">
        <v>374</v>
      </c>
      <c r="B115" s="123" t="s">
        <v>35</v>
      </c>
      <c r="C115" s="125">
        <v>-5805900</v>
      </c>
      <c r="D115" s="125" t="s">
        <v>10</v>
      </c>
      <c r="E115" s="125">
        <f t="shared" si="5"/>
        <v>5805900</v>
      </c>
      <c r="F115" s="132" t="s">
        <v>9</v>
      </c>
      <c r="G115" s="132"/>
      <c r="H115" s="132" t="s">
        <v>415</v>
      </c>
      <c r="I115" s="132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</row>
    <row r="116" s="97" customFormat="1" spans="1:22">
      <c r="A116" s="123" t="s">
        <v>377</v>
      </c>
      <c r="B116" s="123" t="s">
        <v>35</v>
      </c>
      <c r="C116" s="125">
        <v>-215100</v>
      </c>
      <c r="D116" s="125" t="s">
        <v>11</v>
      </c>
      <c r="E116" s="125">
        <f t="shared" si="5"/>
        <v>215100</v>
      </c>
      <c r="F116" s="132" t="s">
        <v>9</v>
      </c>
      <c r="G116" s="132"/>
      <c r="H116" s="132" t="s">
        <v>415</v>
      </c>
      <c r="I116" s="132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</row>
    <row r="117" s="97" customFormat="1" spans="1:22">
      <c r="A117" s="123"/>
      <c r="B117" s="123" t="s">
        <v>39</v>
      </c>
      <c r="C117" s="144">
        <f>-66440000+15922857.14</f>
        <v>-50517142.86</v>
      </c>
      <c r="D117" s="125" t="s">
        <v>18</v>
      </c>
      <c r="E117" s="125">
        <f t="shared" si="5"/>
        <v>50517142.86</v>
      </c>
      <c r="F117" s="132" t="s">
        <v>5</v>
      </c>
      <c r="G117" s="132"/>
      <c r="H117" s="132" t="s">
        <v>416</v>
      </c>
      <c r="I117" s="132" t="s">
        <v>417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</row>
    <row r="118" s="97" customFormat="1" spans="1:22">
      <c r="A118" s="123"/>
      <c r="B118" s="123" t="s">
        <v>34</v>
      </c>
      <c r="C118" s="125">
        <f>-160000</f>
        <v>-160000</v>
      </c>
      <c r="D118" s="125" t="s">
        <v>22</v>
      </c>
      <c r="E118" s="125">
        <f t="shared" si="5"/>
        <v>160000</v>
      </c>
      <c r="F118" s="132" t="s">
        <v>7</v>
      </c>
      <c r="G118" s="132"/>
      <c r="H118" s="125" t="s">
        <v>418</v>
      </c>
      <c r="I118" s="159" t="s">
        <v>419</v>
      </c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</row>
    <row r="119" s="97" customFormat="1" spans="1:22">
      <c r="A119" s="123"/>
      <c r="B119" s="133" t="s">
        <v>34</v>
      </c>
      <c r="C119" s="134">
        <f>-50000/1.06</f>
        <v>-47169.8113207547</v>
      </c>
      <c r="D119" s="134" t="s">
        <v>23</v>
      </c>
      <c r="E119" s="134">
        <f t="shared" si="5"/>
        <v>47169.8113207547</v>
      </c>
      <c r="F119" s="136" t="s">
        <v>7</v>
      </c>
      <c r="G119" s="132"/>
      <c r="H119" s="136" t="s">
        <v>420</v>
      </c>
      <c r="I119" s="132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</row>
    <row r="120" s="97" customFormat="1" spans="1:22">
      <c r="A120" s="123"/>
      <c r="B120" s="133" t="s">
        <v>34</v>
      </c>
      <c r="C120" s="134">
        <v>122886.79</v>
      </c>
      <c r="D120" s="134" t="s">
        <v>23</v>
      </c>
      <c r="E120" s="134">
        <f t="shared" ref="E120:E122" si="6">-C120</f>
        <v>-122886.79</v>
      </c>
      <c r="F120" s="136" t="s">
        <v>5</v>
      </c>
      <c r="G120" s="132"/>
      <c r="H120" s="136" t="s">
        <v>420</v>
      </c>
      <c r="I120" s="132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</row>
    <row r="121" s="97" customFormat="1" spans="1:22">
      <c r="A121" s="123"/>
      <c r="B121" s="133" t="s">
        <v>34</v>
      </c>
      <c r="C121" s="134">
        <v>-18867.92</v>
      </c>
      <c r="D121" s="134" t="s">
        <v>23</v>
      </c>
      <c r="E121" s="134">
        <f t="shared" si="6"/>
        <v>18867.92</v>
      </c>
      <c r="F121" s="136" t="s">
        <v>15</v>
      </c>
      <c r="G121" s="132"/>
      <c r="H121" s="136" t="s">
        <v>421</v>
      </c>
      <c r="I121" s="132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</row>
    <row r="122" s="97" customFormat="1" spans="1:22">
      <c r="A122" s="123"/>
      <c r="B122" s="133" t="s">
        <v>34</v>
      </c>
      <c r="C122" s="134">
        <f>-120000/1.06</f>
        <v>-113207.547169811</v>
      </c>
      <c r="D122" s="134" t="s">
        <v>23</v>
      </c>
      <c r="E122" s="134">
        <f t="shared" si="6"/>
        <v>113207.547169811</v>
      </c>
      <c r="F122" s="136" t="s">
        <v>5</v>
      </c>
      <c r="G122" s="132"/>
      <c r="H122" s="136" t="s">
        <v>422</v>
      </c>
      <c r="I122" s="132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</row>
    <row r="123" s="99" customFormat="1" spans="1:22">
      <c r="A123" s="145" t="s">
        <v>318</v>
      </c>
      <c r="B123" s="146" t="s">
        <v>35</v>
      </c>
      <c r="C123" s="147">
        <v>-9673.82</v>
      </c>
      <c r="D123" s="148" t="s">
        <v>12</v>
      </c>
      <c r="E123" s="148">
        <f t="shared" ref="E123:E129" si="7">-C123</f>
        <v>9673.82</v>
      </c>
      <c r="F123" s="148" t="s">
        <v>7</v>
      </c>
      <c r="G123" s="148"/>
      <c r="H123" s="148" t="s">
        <v>423</v>
      </c>
      <c r="I123" s="160"/>
      <c r="J123" s="98"/>
      <c r="K123" s="98"/>
      <c r="L123" s="98"/>
      <c r="M123" s="98"/>
      <c r="N123" s="161"/>
      <c r="O123" s="161"/>
      <c r="P123" s="161"/>
      <c r="Q123" s="161"/>
      <c r="R123" s="161"/>
      <c r="S123" s="161"/>
      <c r="T123" s="161"/>
      <c r="U123" s="161"/>
      <c r="V123" s="161"/>
    </row>
    <row r="124" s="99" customFormat="1" spans="1:22">
      <c r="A124" s="145" t="s">
        <v>424</v>
      </c>
      <c r="B124" s="146" t="s">
        <v>35</v>
      </c>
      <c r="C124" s="147">
        <f>-40815.99/1.06</f>
        <v>-38505.6509433962</v>
      </c>
      <c r="D124" s="148" t="s">
        <v>9</v>
      </c>
      <c r="E124" s="148">
        <f t="shared" si="7"/>
        <v>38505.6509433962</v>
      </c>
      <c r="F124" s="148" t="s">
        <v>10</v>
      </c>
      <c r="G124" s="148"/>
      <c r="H124" s="148" t="s">
        <v>425</v>
      </c>
      <c r="I124" s="160" t="s">
        <v>426</v>
      </c>
      <c r="J124" s="98"/>
      <c r="K124" s="98"/>
      <c r="L124" s="98"/>
      <c r="M124" s="98"/>
      <c r="N124" s="161"/>
      <c r="O124" s="161"/>
      <c r="P124" s="161"/>
      <c r="Q124" s="161"/>
      <c r="R124" s="161"/>
      <c r="S124" s="161"/>
      <c r="T124" s="161"/>
      <c r="U124" s="161"/>
      <c r="V124" s="161"/>
    </row>
    <row r="125" s="99" customFormat="1" spans="1:22">
      <c r="A125" s="145" t="s">
        <v>320</v>
      </c>
      <c r="B125" s="146" t="s">
        <v>34</v>
      </c>
      <c r="C125" s="147">
        <f>-122447.96/1.06</f>
        <v>-115516.943396226</v>
      </c>
      <c r="D125" s="148" t="s">
        <v>9</v>
      </c>
      <c r="E125" s="148">
        <f t="shared" si="7"/>
        <v>115516.943396226</v>
      </c>
      <c r="F125" s="148" t="s">
        <v>7</v>
      </c>
      <c r="G125" s="148"/>
      <c r="H125" s="148" t="s">
        <v>427</v>
      </c>
      <c r="I125" s="160" t="s">
        <v>426</v>
      </c>
      <c r="J125" s="98"/>
      <c r="K125" s="98"/>
      <c r="L125" s="98"/>
      <c r="M125" s="98"/>
      <c r="N125" s="161"/>
      <c r="O125" s="161"/>
      <c r="P125" s="161"/>
      <c r="Q125" s="161"/>
      <c r="R125" s="161"/>
      <c r="S125" s="161"/>
      <c r="T125" s="161"/>
      <c r="U125" s="161"/>
      <c r="V125" s="161"/>
    </row>
    <row r="126" s="99" customFormat="1" spans="1:22">
      <c r="A126" s="145" t="s">
        <v>322</v>
      </c>
      <c r="B126" s="146" t="s">
        <v>35</v>
      </c>
      <c r="C126" s="147">
        <f>-12460.15/1.06</f>
        <v>-11754.858490566</v>
      </c>
      <c r="D126" s="148" t="s">
        <v>9</v>
      </c>
      <c r="E126" s="148">
        <f t="shared" si="7"/>
        <v>11754.858490566</v>
      </c>
      <c r="F126" s="148" t="s">
        <v>10</v>
      </c>
      <c r="G126" s="148"/>
      <c r="H126" s="148" t="s">
        <v>428</v>
      </c>
      <c r="I126" s="160" t="s">
        <v>429</v>
      </c>
      <c r="J126" s="98"/>
      <c r="K126" s="98"/>
      <c r="L126" s="98"/>
      <c r="M126" s="98"/>
      <c r="N126" s="161"/>
      <c r="O126" s="161"/>
      <c r="P126" s="161"/>
      <c r="Q126" s="161"/>
      <c r="R126" s="161"/>
      <c r="S126" s="161"/>
      <c r="T126" s="161"/>
      <c r="U126" s="161"/>
      <c r="V126" s="161"/>
    </row>
    <row r="127" s="99" customFormat="1" spans="1:22">
      <c r="A127" s="145" t="s">
        <v>324</v>
      </c>
      <c r="B127" s="146" t="s">
        <v>35</v>
      </c>
      <c r="C127" s="147">
        <f>-37380.46/1.06</f>
        <v>-35264.5849056604</v>
      </c>
      <c r="D127" s="148" t="s">
        <v>9</v>
      </c>
      <c r="E127" s="148">
        <f t="shared" si="7"/>
        <v>35264.5849056604</v>
      </c>
      <c r="F127" s="148" t="s">
        <v>7</v>
      </c>
      <c r="G127" s="148"/>
      <c r="H127" s="148" t="s">
        <v>430</v>
      </c>
      <c r="I127" s="160" t="s">
        <v>429</v>
      </c>
      <c r="J127" s="98"/>
      <c r="K127" s="98"/>
      <c r="L127" s="98"/>
      <c r="M127" s="98"/>
      <c r="N127" s="161"/>
      <c r="O127" s="161"/>
      <c r="P127" s="161"/>
      <c r="Q127" s="161"/>
      <c r="R127" s="161"/>
      <c r="S127" s="161"/>
      <c r="T127" s="161"/>
      <c r="U127" s="161"/>
      <c r="V127" s="161"/>
    </row>
    <row r="128" s="99" customFormat="1" spans="1:22">
      <c r="A128" s="145"/>
      <c r="B128" s="146" t="s">
        <v>35</v>
      </c>
      <c r="C128" s="149">
        <v>-13076.38</v>
      </c>
      <c r="D128" s="148" t="s">
        <v>12</v>
      </c>
      <c r="E128" s="148">
        <f t="shared" si="7"/>
        <v>13076.38</v>
      </c>
      <c r="F128" s="150" t="s">
        <v>7</v>
      </c>
      <c r="G128" s="150"/>
      <c r="H128" s="150" t="s">
        <v>431</v>
      </c>
      <c r="I128" s="162"/>
      <c r="J128" s="98"/>
      <c r="K128" s="98"/>
      <c r="L128" s="98"/>
      <c r="M128" s="98"/>
      <c r="N128" s="161"/>
      <c r="O128" s="161"/>
      <c r="P128" s="161"/>
      <c r="Q128" s="161"/>
      <c r="R128" s="161"/>
      <c r="S128" s="161"/>
      <c r="T128" s="161"/>
      <c r="U128" s="161"/>
      <c r="V128" s="161"/>
    </row>
    <row r="129" s="99" customFormat="1" spans="1:22">
      <c r="A129" s="145"/>
      <c r="B129" s="146" t="s">
        <v>37</v>
      </c>
      <c r="C129" s="149">
        <v>-540420.8</v>
      </c>
      <c r="D129" s="148" t="s">
        <v>17</v>
      </c>
      <c r="E129" s="148">
        <f t="shared" si="7"/>
        <v>540420.8</v>
      </c>
      <c r="F129" s="150" t="s">
        <v>5</v>
      </c>
      <c r="G129" s="150"/>
      <c r="H129" s="150" t="s">
        <v>432</v>
      </c>
      <c r="I129" s="162"/>
      <c r="J129" s="98"/>
      <c r="K129" s="98"/>
      <c r="L129" s="98"/>
      <c r="M129" s="98"/>
      <c r="N129" s="161"/>
      <c r="O129" s="161"/>
      <c r="P129" s="161"/>
      <c r="Q129" s="161"/>
      <c r="R129" s="161"/>
      <c r="S129" s="161"/>
      <c r="T129" s="161"/>
      <c r="U129" s="161"/>
      <c r="V129" s="161"/>
    </row>
    <row r="130" s="99" customFormat="1" spans="1:22">
      <c r="A130" s="145"/>
      <c r="B130" s="146" t="s">
        <v>39</v>
      </c>
      <c r="C130" s="149">
        <f>572846.05</f>
        <v>572846.05</v>
      </c>
      <c r="D130" s="148" t="s">
        <v>17</v>
      </c>
      <c r="E130" s="148">
        <f t="shared" ref="E130" si="8">-C130</f>
        <v>-572846.05</v>
      </c>
      <c r="F130" s="150" t="s">
        <v>5</v>
      </c>
      <c r="G130" s="150"/>
      <c r="H130" s="150" t="s">
        <v>432</v>
      </c>
      <c r="I130" s="162"/>
      <c r="J130" s="98"/>
      <c r="K130" s="98"/>
      <c r="L130" s="98"/>
      <c r="M130" s="98"/>
      <c r="N130" s="161"/>
      <c r="O130" s="161"/>
      <c r="P130" s="161"/>
      <c r="Q130" s="161"/>
      <c r="R130" s="161"/>
      <c r="S130" s="161"/>
      <c r="T130" s="161"/>
      <c r="U130" s="161"/>
      <c r="V130" s="161"/>
    </row>
    <row r="131" s="100" customFormat="1" spans="1:22">
      <c r="A131" s="163"/>
      <c r="B131" s="163" t="s">
        <v>433</v>
      </c>
      <c r="C131" s="164"/>
      <c r="D131" s="165"/>
      <c r="E131" s="165">
        <f>SUM(E132:E188)</f>
        <v>-132591.16</v>
      </c>
      <c r="F131" s="166"/>
      <c r="G131" s="166"/>
      <c r="H131" s="166"/>
      <c r="I131" s="166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</row>
    <row r="132" spans="1:9">
      <c r="A132" s="123" t="s">
        <v>291</v>
      </c>
      <c r="B132" s="123" t="s">
        <v>43</v>
      </c>
      <c r="C132" s="167">
        <f t="shared" ref="C132:C142" si="9">ROUND(IF(OR(LEFT(B52,1)="2",(LEFT(B52,1)="4")),0,C52*0.06*0.12),2)</f>
        <v>0</v>
      </c>
      <c r="D132" s="125" t="str">
        <f t="shared" ref="D132:D195" si="10">D52</f>
        <v>证券投资部</v>
      </c>
      <c r="E132" s="125">
        <f>-C132</f>
        <v>0</v>
      </c>
      <c r="F132" s="125" t="str">
        <f t="shared" ref="F132:F195" si="11">F52</f>
        <v>总部中后台</v>
      </c>
      <c r="G132" s="168"/>
      <c r="H132" s="168"/>
      <c r="I132" s="168"/>
    </row>
    <row r="133" spans="1:9">
      <c r="A133" s="123" t="s">
        <v>307</v>
      </c>
      <c r="B133" s="123" t="s">
        <v>43</v>
      </c>
      <c r="C133" s="167">
        <f t="shared" si="9"/>
        <v>-15638.26</v>
      </c>
      <c r="D133" s="125" t="str">
        <f t="shared" si="10"/>
        <v>经纪业务部</v>
      </c>
      <c r="E133" s="125">
        <f t="shared" ref="E133:E196" si="12">-C133</f>
        <v>15638.26</v>
      </c>
      <c r="F133" s="125" t="str">
        <f t="shared" si="11"/>
        <v>固定收益市场部</v>
      </c>
      <c r="G133" s="168"/>
      <c r="H133" s="168"/>
      <c r="I133" s="168"/>
    </row>
    <row r="134" spans="1:9">
      <c r="A134" s="123" t="s">
        <v>309</v>
      </c>
      <c r="B134" s="123" t="s">
        <v>43</v>
      </c>
      <c r="C134" s="167">
        <f t="shared" si="9"/>
        <v>37995.91</v>
      </c>
      <c r="D134" s="125" t="str">
        <f t="shared" si="10"/>
        <v>证券投资部</v>
      </c>
      <c r="E134" s="125">
        <f t="shared" si="12"/>
        <v>-37995.91</v>
      </c>
      <c r="F134" s="125" t="str">
        <f t="shared" si="11"/>
        <v>固定收益投资部</v>
      </c>
      <c r="G134" s="168"/>
      <c r="H134" s="168"/>
      <c r="I134" s="168"/>
    </row>
    <row r="135" spans="1:9">
      <c r="A135" s="123" t="s">
        <v>312</v>
      </c>
      <c r="B135" s="123" t="s">
        <v>43</v>
      </c>
      <c r="C135" s="167">
        <f t="shared" si="9"/>
        <v>0</v>
      </c>
      <c r="D135" s="125" t="str">
        <f t="shared" si="10"/>
        <v>证券投资部</v>
      </c>
      <c r="E135" s="125">
        <f t="shared" si="12"/>
        <v>0</v>
      </c>
      <c r="F135" s="125" t="str">
        <f t="shared" si="11"/>
        <v>金融衍生品部</v>
      </c>
      <c r="G135" s="168"/>
      <c r="H135" s="168"/>
      <c r="I135" s="168"/>
    </row>
    <row r="136" spans="1:9">
      <c r="A136" s="123" t="s">
        <v>314</v>
      </c>
      <c r="B136" s="123" t="s">
        <v>43</v>
      </c>
      <c r="C136" s="167">
        <f t="shared" si="9"/>
        <v>44298.14</v>
      </c>
      <c r="D136" s="125" t="str">
        <f t="shared" si="10"/>
        <v>证券投资部</v>
      </c>
      <c r="E136" s="125">
        <f t="shared" si="12"/>
        <v>-44298.14</v>
      </c>
      <c r="F136" s="125" t="str">
        <f t="shared" si="11"/>
        <v>量化产品投资部</v>
      </c>
      <c r="G136" s="168"/>
      <c r="H136" s="168"/>
      <c r="I136" s="168"/>
    </row>
    <row r="137" spans="1:9">
      <c r="A137" s="123" t="s">
        <v>316</v>
      </c>
      <c r="B137" s="123" t="s">
        <v>43</v>
      </c>
      <c r="C137" s="167">
        <f t="shared" si="9"/>
        <v>587.17</v>
      </c>
      <c r="D137" s="125" t="str">
        <f t="shared" si="10"/>
        <v>证券投资部</v>
      </c>
      <c r="E137" s="125">
        <f t="shared" si="12"/>
        <v>-587.17</v>
      </c>
      <c r="F137" s="125" t="str">
        <f t="shared" si="11"/>
        <v>固定收益投资部</v>
      </c>
      <c r="G137" s="168"/>
      <c r="H137" s="168"/>
      <c r="I137" s="168"/>
    </row>
    <row r="138" spans="1:9">
      <c r="A138" s="123" t="s">
        <v>318</v>
      </c>
      <c r="B138" s="123" t="s">
        <v>43</v>
      </c>
      <c r="C138" s="167">
        <f t="shared" si="9"/>
        <v>0</v>
      </c>
      <c r="D138" s="125" t="str">
        <f t="shared" si="10"/>
        <v>证券投资部</v>
      </c>
      <c r="E138" s="125">
        <f t="shared" si="12"/>
        <v>0</v>
      </c>
      <c r="F138" s="125" t="str">
        <f t="shared" si="11"/>
        <v>固定收益投资部</v>
      </c>
      <c r="G138" s="168"/>
      <c r="H138" s="168"/>
      <c r="I138" s="168"/>
    </row>
    <row r="139" spans="1:9">
      <c r="A139" s="123" t="s">
        <v>434</v>
      </c>
      <c r="B139" s="123" t="s">
        <v>43</v>
      </c>
      <c r="C139" s="167">
        <f t="shared" si="9"/>
        <v>-8515.02</v>
      </c>
      <c r="D139" s="125" t="str">
        <f t="shared" si="10"/>
        <v>投资银行三部</v>
      </c>
      <c r="E139" s="125">
        <f t="shared" si="12"/>
        <v>8515.02</v>
      </c>
      <c r="F139" s="125" t="str">
        <f t="shared" si="11"/>
        <v>经纪业务部</v>
      </c>
      <c r="G139" s="168"/>
      <c r="H139" s="168"/>
      <c r="I139" s="168"/>
    </row>
    <row r="140" spans="1:9">
      <c r="A140" s="123" t="s">
        <v>424</v>
      </c>
      <c r="B140" s="123" t="s">
        <v>43</v>
      </c>
      <c r="C140" s="167">
        <f t="shared" si="9"/>
        <v>32613.65</v>
      </c>
      <c r="D140" s="125" t="str">
        <f t="shared" si="10"/>
        <v>固定收益市场部</v>
      </c>
      <c r="E140" s="125">
        <f t="shared" si="12"/>
        <v>-32613.65</v>
      </c>
      <c r="F140" s="125" t="str">
        <f t="shared" si="11"/>
        <v>其他</v>
      </c>
      <c r="G140" s="168"/>
      <c r="H140" s="168"/>
      <c r="I140" s="168"/>
    </row>
    <row r="141" spans="1:9">
      <c r="A141" s="123" t="s">
        <v>320</v>
      </c>
      <c r="B141" s="123" t="s">
        <v>43</v>
      </c>
      <c r="C141" s="167">
        <f t="shared" si="9"/>
        <v>-38943.11</v>
      </c>
      <c r="D141" s="125" t="str">
        <f t="shared" si="10"/>
        <v>固定收益市场部</v>
      </c>
      <c r="E141" s="125">
        <f t="shared" si="12"/>
        <v>38943.11</v>
      </c>
      <c r="F141" s="125" t="str">
        <f t="shared" si="11"/>
        <v>总部中后台</v>
      </c>
      <c r="G141" s="168"/>
      <c r="H141" s="168"/>
      <c r="I141" s="168"/>
    </row>
    <row r="142" spans="1:9">
      <c r="A142" s="123" t="s">
        <v>322</v>
      </c>
      <c r="B142" s="123" t="s">
        <v>43</v>
      </c>
      <c r="C142" s="167">
        <f t="shared" si="9"/>
        <v>0</v>
      </c>
      <c r="D142" s="125" t="str">
        <f t="shared" si="10"/>
        <v>固定收益市场部</v>
      </c>
      <c r="E142" s="125">
        <f t="shared" si="12"/>
        <v>0</v>
      </c>
      <c r="F142" s="125" t="str">
        <f t="shared" si="11"/>
        <v>其他</v>
      </c>
      <c r="G142" s="168"/>
      <c r="H142" s="168"/>
      <c r="I142" s="168"/>
    </row>
    <row r="143" spans="1:9">
      <c r="A143" s="123" t="s">
        <v>324</v>
      </c>
      <c r="B143" s="123" t="s">
        <v>43</v>
      </c>
      <c r="C143" s="167"/>
      <c r="D143" s="125" t="str">
        <f t="shared" si="10"/>
        <v>经纪业务部</v>
      </c>
      <c r="E143" s="125">
        <f t="shared" si="12"/>
        <v>0</v>
      </c>
      <c r="F143" s="125" t="str">
        <f t="shared" si="11"/>
        <v>其他</v>
      </c>
      <c r="G143" s="168"/>
      <c r="H143" s="169" t="s">
        <v>435</v>
      </c>
      <c r="I143" s="169"/>
    </row>
    <row r="144" spans="1:9">
      <c r="A144" s="123" t="s">
        <v>326</v>
      </c>
      <c r="B144" s="123" t="s">
        <v>43</v>
      </c>
      <c r="C144" s="167">
        <f t="shared" ref="C144:C150" si="13">ROUND(IF(OR(LEFT(B64,1)="2",(LEFT(B64,1)="4")),0,C64*0.06*0.12),2)</f>
        <v>0</v>
      </c>
      <c r="D144" s="125" t="str">
        <f t="shared" si="10"/>
        <v>经纪业务部</v>
      </c>
      <c r="E144" s="125">
        <f t="shared" si="12"/>
        <v>0</v>
      </c>
      <c r="F144" s="125" t="str">
        <f t="shared" si="11"/>
        <v>总部中后台</v>
      </c>
      <c r="G144" s="168"/>
      <c r="H144" s="169"/>
      <c r="I144" s="169"/>
    </row>
    <row r="145" spans="1:9">
      <c r="A145" s="123" t="s">
        <v>328</v>
      </c>
      <c r="B145" s="123" t="s">
        <v>43</v>
      </c>
      <c r="C145" s="167">
        <f t="shared" si="13"/>
        <v>0</v>
      </c>
      <c r="D145" s="125" t="str">
        <f t="shared" si="10"/>
        <v>投资银行一部</v>
      </c>
      <c r="E145" s="125">
        <f t="shared" si="12"/>
        <v>0</v>
      </c>
      <c r="F145" s="125" t="str">
        <f t="shared" si="11"/>
        <v>总部中后台</v>
      </c>
      <c r="G145" s="168"/>
      <c r="H145" s="132"/>
      <c r="I145" s="169"/>
    </row>
    <row r="146" spans="1:9">
      <c r="A146" s="123" t="s">
        <v>330</v>
      </c>
      <c r="B146" s="123" t="s">
        <v>43</v>
      </c>
      <c r="C146" s="167">
        <f t="shared" si="13"/>
        <v>0</v>
      </c>
      <c r="D146" s="125" t="str">
        <f t="shared" si="10"/>
        <v>投资银行二部</v>
      </c>
      <c r="E146" s="125">
        <f t="shared" si="12"/>
        <v>0</v>
      </c>
      <c r="F146" s="125" t="str">
        <f t="shared" si="11"/>
        <v>总部中后台</v>
      </c>
      <c r="G146" s="168"/>
      <c r="H146" s="169"/>
      <c r="I146" s="169"/>
    </row>
    <row r="147" spans="1:9">
      <c r="A147" s="123" t="s">
        <v>332</v>
      </c>
      <c r="B147" s="123" t="s">
        <v>43</v>
      </c>
      <c r="C147" s="167">
        <f t="shared" si="13"/>
        <v>0</v>
      </c>
      <c r="D147" s="125" t="str">
        <f t="shared" si="10"/>
        <v>量化产品投资部</v>
      </c>
      <c r="E147" s="125">
        <f t="shared" si="12"/>
        <v>0</v>
      </c>
      <c r="F147" s="125" t="str">
        <f t="shared" si="11"/>
        <v>总部中后台</v>
      </c>
      <c r="G147" s="168"/>
      <c r="H147" s="169"/>
      <c r="I147" s="169"/>
    </row>
    <row r="148" spans="1:9">
      <c r="A148" s="123" t="s">
        <v>334</v>
      </c>
      <c r="B148" s="123" t="s">
        <v>43</v>
      </c>
      <c r="C148" s="167">
        <f t="shared" si="13"/>
        <v>-8161.47</v>
      </c>
      <c r="D148" s="125" t="str">
        <f t="shared" si="10"/>
        <v>固定收益投资部</v>
      </c>
      <c r="E148" s="125">
        <f t="shared" si="12"/>
        <v>8161.47</v>
      </c>
      <c r="F148" s="125" t="str">
        <f t="shared" si="11"/>
        <v>总部中后台</v>
      </c>
      <c r="G148" s="168"/>
      <c r="H148" s="169"/>
      <c r="I148" s="169"/>
    </row>
    <row r="149" spans="1:9">
      <c r="A149" s="123" t="s">
        <v>356</v>
      </c>
      <c r="B149" s="123" t="s">
        <v>43</v>
      </c>
      <c r="C149" s="167">
        <f t="shared" si="13"/>
        <v>28288.15</v>
      </c>
      <c r="D149" s="125" t="str">
        <f t="shared" si="10"/>
        <v>经纪业务部</v>
      </c>
      <c r="E149" s="125">
        <f t="shared" si="12"/>
        <v>-28288.15</v>
      </c>
      <c r="F149" s="125" t="str">
        <f t="shared" si="11"/>
        <v>其他</v>
      </c>
      <c r="G149" s="168"/>
      <c r="H149" s="168"/>
      <c r="I149" s="169"/>
    </row>
    <row r="150" spans="1:9">
      <c r="A150" s="123" t="s">
        <v>336</v>
      </c>
      <c r="B150" s="123" t="s">
        <v>43</v>
      </c>
      <c r="C150" s="167">
        <f t="shared" si="13"/>
        <v>0</v>
      </c>
      <c r="D150" s="125" t="str">
        <f t="shared" si="10"/>
        <v>金融衍生品部</v>
      </c>
      <c r="E150" s="125">
        <f t="shared" si="12"/>
        <v>0</v>
      </c>
      <c r="F150" s="125" t="str">
        <f t="shared" si="11"/>
        <v>总部中后台</v>
      </c>
      <c r="G150" s="168"/>
      <c r="H150" s="168"/>
      <c r="I150" s="169"/>
    </row>
    <row r="151" spans="1:9">
      <c r="A151" s="123" t="s">
        <v>338</v>
      </c>
      <c r="B151" s="123" t="s">
        <v>43</v>
      </c>
      <c r="C151" s="167"/>
      <c r="D151" s="125" t="str">
        <f t="shared" si="10"/>
        <v>经纪业务部</v>
      </c>
      <c r="E151" s="125">
        <f t="shared" si="12"/>
        <v>0</v>
      </c>
      <c r="F151" s="125" t="str">
        <f t="shared" si="11"/>
        <v>其他</v>
      </c>
      <c r="G151" s="168"/>
      <c r="H151" s="168" t="s">
        <v>436</v>
      </c>
      <c r="I151" s="169"/>
    </row>
    <row r="152" spans="1:9">
      <c r="A152" s="123" t="s">
        <v>340</v>
      </c>
      <c r="B152" s="123" t="s">
        <v>43</v>
      </c>
      <c r="C152" s="167">
        <f t="shared" ref="C152:C192" si="14">ROUND(IF(OR(LEFT(B72,1)="2",(LEFT(B72,1)="4")),0,C72*0.06*0.12),2)</f>
        <v>4075.47</v>
      </c>
      <c r="D152" s="125" t="str">
        <f t="shared" si="10"/>
        <v>投资银行一部</v>
      </c>
      <c r="E152" s="125">
        <f t="shared" si="12"/>
        <v>-4075.47</v>
      </c>
      <c r="F152" s="125" t="str">
        <f t="shared" si="11"/>
        <v>投资银行管理部</v>
      </c>
      <c r="G152" s="168"/>
      <c r="H152" s="168"/>
      <c r="I152" s="169"/>
    </row>
    <row r="153" spans="1:9">
      <c r="A153" s="123" t="s">
        <v>342</v>
      </c>
      <c r="B153" s="123" t="s">
        <v>43</v>
      </c>
      <c r="C153" s="167">
        <f t="shared" si="14"/>
        <v>-4753.57</v>
      </c>
      <c r="D153" s="125" t="str">
        <f t="shared" si="10"/>
        <v>固收产品投资部</v>
      </c>
      <c r="E153" s="125">
        <f t="shared" si="12"/>
        <v>4753.57</v>
      </c>
      <c r="F153" s="125" t="str">
        <f t="shared" si="11"/>
        <v>经纪业务部</v>
      </c>
      <c r="G153" s="168"/>
      <c r="H153" s="169"/>
      <c r="I153" s="169"/>
    </row>
    <row r="154" spans="1:9">
      <c r="A154" s="123" t="s">
        <v>344</v>
      </c>
      <c r="B154" s="123" t="s">
        <v>43</v>
      </c>
      <c r="C154" s="167">
        <f t="shared" si="14"/>
        <v>-2790.81</v>
      </c>
      <c r="D154" s="125" t="str">
        <f t="shared" si="10"/>
        <v>资产管理部</v>
      </c>
      <c r="E154" s="125">
        <f t="shared" si="12"/>
        <v>2790.81</v>
      </c>
      <c r="F154" s="125" t="str">
        <f t="shared" si="11"/>
        <v>经纪业务部</v>
      </c>
      <c r="G154" s="168"/>
      <c r="H154" s="169"/>
      <c r="I154" s="169"/>
    </row>
    <row r="155" spans="1:9">
      <c r="A155" s="123" t="s">
        <v>346</v>
      </c>
      <c r="B155" s="123" t="s">
        <v>43</v>
      </c>
      <c r="C155" s="167">
        <f t="shared" si="14"/>
        <v>-11347.1</v>
      </c>
      <c r="D155" s="125" t="str">
        <f t="shared" si="10"/>
        <v>资产管理部</v>
      </c>
      <c r="E155" s="125">
        <f t="shared" si="12"/>
        <v>11347.1</v>
      </c>
      <c r="F155" s="125" t="str">
        <f t="shared" si="11"/>
        <v>其他</v>
      </c>
      <c r="G155" s="168"/>
      <c r="H155" s="169"/>
      <c r="I155" s="169"/>
    </row>
    <row r="156" spans="1:9">
      <c r="A156" s="123" t="s">
        <v>348</v>
      </c>
      <c r="B156" s="123" t="s">
        <v>43</v>
      </c>
      <c r="C156" s="167">
        <f t="shared" si="14"/>
        <v>11347.1</v>
      </c>
      <c r="D156" s="125" t="str">
        <f t="shared" si="10"/>
        <v>资产管理部</v>
      </c>
      <c r="E156" s="125">
        <f t="shared" si="12"/>
        <v>-11347.1</v>
      </c>
      <c r="F156" s="125" t="str">
        <f t="shared" si="11"/>
        <v>其他</v>
      </c>
      <c r="G156" s="168"/>
      <c r="H156" s="169"/>
      <c r="I156" s="169"/>
    </row>
    <row r="157" spans="1:9">
      <c r="A157" s="123" t="s">
        <v>351</v>
      </c>
      <c r="B157" s="123" t="s">
        <v>43</v>
      </c>
      <c r="C157" s="167">
        <f t="shared" si="14"/>
        <v>-2581.13</v>
      </c>
      <c r="D157" s="125" t="str">
        <f t="shared" si="10"/>
        <v>资产管理部</v>
      </c>
      <c r="E157" s="125">
        <f t="shared" si="12"/>
        <v>2581.13</v>
      </c>
      <c r="F157" s="125" t="str">
        <f t="shared" si="11"/>
        <v>投资银行一部</v>
      </c>
      <c r="G157" s="168"/>
      <c r="H157" s="169"/>
      <c r="I157" s="169"/>
    </row>
    <row r="158" spans="1:9">
      <c r="A158" s="123" t="s">
        <v>354</v>
      </c>
      <c r="B158" s="123" t="s">
        <v>43</v>
      </c>
      <c r="C158" s="167">
        <f t="shared" si="14"/>
        <v>0</v>
      </c>
      <c r="D158" s="125" t="str">
        <f t="shared" si="10"/>
        <v>做市业务部</v>
      </c>
      <c r="E158" s="125">
        <f t="shared" si="12"/>
        <v>0</v>
      </c>
      <c r="F158" s="125" t="str">
        <f t="shared" si="11"/>
        <v>投资银行三部</v>
      </c>
      <c r="G158" s="168"/>
      <c r="H158" s="169"/>
      <c r="I158" s="169"/>
    </row>
    <row r="159" spans="1:9">
      <c r="A159" s="123" t="s">
        <v>437</v>
      </c>
      <c r="B159" s="123" t="s">
        <v>43</v>
      </c>
      <c r="C159" s="167">
        <f t="shared" si="14"/>
        <v>676.82</v>
      </c>
      <c r="D159" s="125" t="str">
        <f t="shared" si="10"/>
        <v>做市业务部</v>
      </c>
      <c r="E159" s="125">
        <f t="shared" si="12"/>
        <v>-676.82</v>
      </c>
      <c r="F159" s="125" t="str">
        <f t="shared" si="11"/>
        <v>投资银行三部</v>
      </c>
      <c r="G159" s="168"/>
      <c r="H159" s="169"/>
      <c r="I159" s="169"/>
    </row>
    <row r="160" spans="1:9">
      <c r="A160" s="123" t="s">
        <v>438</v>
      </c>
      <c r="B160" s="123" t="s">
        <v>43</v>
      </c>
      <c r="C160" s="167">
        <f t="shared" si="14"/>
        <v>0</v>
      </c>
      <c r="D160" s="125" t="str">
        <f t="shared" si="10"/>
        <v>固定收益投资部</v>
      </c>
      <c r="E160" s="125">
        <f t="shared" si="12"/>
        <v>0</v>
      </c>
      <c r="F160" s="125" t="str">
        <f t="shared" si="11"/>
        <v>投顾业务部</v>
      </c>
      <c r="G160" s="168"/>
      <c r="H160" s="169"/>
      <c r="I160" s="169"/>
    </row>
    <row r="161" spans="1:9">
      <c r="A161" s="123" t="s">
        <v>358</v>
      </c>
      <c r="B161" s="123" t="s">
        <v>43</v>
      </c>
      <c r="C161" s="167">
        <f t="shared" si="14"/>
        <v>-14302.53</v>
      </c>
      <c r="D161" s="125" t="str">
        <f t="shared" si="10"/>
        <v>固收产品投资部</v>
      </c>
      <c r="E161" s="125">
        <f t="shared" si="12"/>
        <v>14302.53</v>
      </c>
      <c r="F161" s="125" t="str">
        <f t="shared" si="11"/>
        <v>投顾业务部</v>
      </c>
      <c r="G161" s="168"/>
      <c r="H161" s="169"/>
      <c r="I161" s="169"/>
    </row>
    <row r="162" spans="1:9">
      <c r="A162" s="123" t="s">
        <v>360</v>
      </c>
      <c r="B162" s="123" t="s">
        <v>43</v>
      </c>
      <c r="C162" s="167">
        <f t="shared" si="14"/>
        <v>-75.33</v>
      </c>
      <c r="D162" s="125" t="str">
        <f t="shared" si="10"/>
        <v>固收产品投资部</v>
      </c>
      <c r="E162" s="125">
        <f t="shared" si="12"/>
        <v>75.33</v>
      </c>
      <c r="F162" s="125" t="str">
        <f t="shared" si="11"/>
        <v>投顾业务部</v>
      </c>
      <c r="G162" s="168"/>
      <c r="H162" s="169"/>
      <c r="I162" s="169"/>
    </row>
    <row r="163" spans="1:9">
      <c r="A163" s="123" t="s">
        <v>362</v>
      </c>
      <c r="B163" s="123" t="s">
        <v>43</v>
      </c>
      <c r="C163" s="167">
        <f t="shared" si="14"/>
        <v>-458.36</v>
      </c>
      <c r="D163" s="125" t="str">
        <f t="shared" si="10"/>
        <v>固收产品投资部</v>
      </c>
      <c r="E163" s="125">
        <f t="shared" si="12"/>
        <v>458.36</v>
      </c>
      <c r="F163" s="125" t="str">
        <f t="shared" si="11"/>
        <v>投顾业务部</v>
      </c>
      <c r="G163" s="168"/>
      <c r="H163" s="169"/>
      <c r="I163" s="169"/>
    </row>
    <row r="164" spans="1:9">
      <c r="A164" s="123" t="s">
        <v>439</v>
      </c>
      <c r="B164" s="123" t="s">
        <v>43</v>
      </c>
      <c r="C164" s="167">
        <f t="shared" si="14"/>
        <v>-1816.96</v>
      </c>
      <c r="D164" s="125" t="str">
        <f t="shared" si="10"/>
        <v>固收产品投资部</v>
      </c>
      <c r="E164" s="125">
        <f t="shared" si="12"/>
        <v>1816.96</v>
      </c>
      <c r="F164" s="125" t="str">
        <f t="shared" si="11"/>
        <v>投顾业务部</v>
      </c>
      <c r="G164" s="168"/>
      <c r="H164" s="169"/>
      <c r="I164" s="169"/>
    </row>
    <row r="165" spans="1:9">
      <c r="A165" s="123" t="s">
        <v>363</v>
      </c>
      <c r="B165" s="123" t="s">
        <v>43</v>
      </c>
      <c r="C165" s="167">
        <f t="shared" si="14"/>
        <v>104.15</v>
      </c>
      <c r="D165" s="125" t="str">
        <f t="shared" si="10"/>
        <v>经纪业务部</v>
      </c>
      <c r="E165" s="125">
        <f t="shared" si="12"/>
        <v>-104.15</v>
      </c>
      <c r="F165" s="125" t="str">
        <f t="shared" si="11"/>
        <v>固收产品投资部</v>
      </c>
      <c r="G165" s="168"/>
      <c r="H165" s="169"/>
      <c r="I165" s="169"/>
    </row>
    <row r="166" spans="1:9">
      <c r="A166" s="123"/>
      <c r="B166" s="123" t="s">
        <v>43</v>
      </c>
      <c r="C166" s="167">
        <f t="shared" si="14"/>
        <v>-3124.53</v>
      </c>
      <c r="D166" s="125" t="str">
        <f t="shared" si="10"/>
        <v>资产管理部</v>
      </c>
      <c r="E166" s="125">
        <f t="shared" si="12"/>
        <v>3124.53</v>
      </c>
      <c r="F166" s="125" t="str">
        <f t="shared" si="11"/>
        <v>经纪业务部</v>
      </c>
      <c r="G166" s="168"/>
      <c r="H166" s="169"/>
      <c r="I166" s="169"/>
    </row>
    <row r="167" spans="1:9">
      <c r="A167" s="123" t="s">
        <v>365</v>
      </c>
      <c r="B167" s="123" t="s">
        <v>43</v>
      </c>
      <c r="C167" s="167">
        <f t="shared" si="14"/>
        <v>-931.89</v>
      </c>
      <c r="D167" s="125" t="str">
        <f t="shared" si="10"/>
        <v>资产管理部</v>
      </c>
      <c r="E167" s="125">
        <f t="shared" si="12"/>
        <v>931.89</v>
      </c>
      <c r="F167" s="125" t="str">
        <f t="shared" si="11"/>
        <v>经纪业务部</v>
      </c>
      <c r="G167" s="168"/>
      <c r="H167" s="169"/>
      <c r="I167" s="169"/>
    </row>
    <row r="168" spans="1:9">
      <c r="A168" s="123" t="s">
        <v>367</v>
      </c>
      <c r="B168" s="123" t="s">
        <v>43</v>
      </c>
      <c r="C168" s="167">
        <f t="shared" si="14"/>
        <v>-8621.7</v>
      </c>
      <c r="D168" s="125" t="str">
        <f t="shared" si="10"/>
        <v>资产管理部</v>
      </c>
      <c r="E168" s="125">
        <f t="shared" si="12"/>
        <v>8621.7</v>
      </c>
      <c r="F168" s="125" t="str">
        <f t="shared" si="11"/>
        <v>经纪业务部</v>
      </c>
      <c r="G168" s="168"/>
      <c r="H168" s="169"/>
      <c r="I168" s="169"/>
    </row>
    <row r="169" spans="1:9">
      <c r="A169" s="123" t="s">
        <v>369</v>
      </c>
      <c r="B169" s="123" t="s">
        <v>43</v>
      </c>
      <c r="C169" s="167">
        <f t="shared" si="14"/>
        <v>-2083.78</v>
      </c>
      <c r="D169" s="125" t="str">
        <f t="shared" si="10"/>
        <v>资产管理部</v>
      </c>
      <c r="E169" s="125">
        <f t="shared" si="12"/>
        <v>2083.78</v>
      </c>
      <c r="F169" s="125" t="str">
        <f t="shared" si="11"/>
        <v>经纪业务部</v>
      </c>
      <c r="G169" s="168"/>
      <c r="H169" s="169"/>
      <c r="I169" s="169"/>
    </row>
    <row r="170" spans="1:9">
      <c r="A170" s="123" t="s">
        <v>371</v>
      </c>
      <c r="B170" s="123" t="s">
        <v>43</v>
      </c>
      <c r="C170" s="167">
        <f t="shared" si="14"/>
        <v>-4300.98</v>
      </c>
      <c r="D170" s="125" t="str">
        <f t="shared" si="10"/>
        <v>投资银行三部</v>
      </c>
      <c r="E170" s="125">
        <f t="shared" si="12"/>
        <v>4300.98</v>
      </c>
      <c r="F170" s="125" t="str">
        <f t="shared" si="11"/>
        <v>其他</v>
      </c>
      <c r="G170" s="168"/>
      <c r="H170" s="170"/>
      <c r="I170" s="169"/>
    </row>
    <row r="171" spans="1:9">
      <c r="A171" s="123" t="s">
        <v>414</v>
      </c>
      <c r="B171" s="123" t="s">
        <v>43</v>
      </c>
      <c r="C171" s="167">
        <f t="shared" si="14"/>
        <v>49096.56</v>
      </c>
      <c r="D171" s="125" t="str">
        <f t="shared" si="10"/>
        <v>证券投资部</v>
      </c>
      <c r="E171" s="125">
        <f t="shared" si="12"/>
        <v>-49096.56</v>
      </c>
      <c r="F171" s="125" t="str">
        <f t="shared" si="11"/>
        <v>量化产品投资部</v>
      </c>
      <c r="G171" s="168"/>
      <c r="H171" s="169"/>
      <c r="I171" s="169"/>
    </row>
    <row r="172" spans="1:9">
      <c r="A172" s="123" t="s">
        <v>374</v>
      </c>
      <c r="B172" s="123" t="s">
        <v>43</v>
      </c>
      <c r="C172" s="167">
        <f t="shared" si="14"/>
        <v>0</v>
      </c>
      <c r="D172" s="125" t="str">
        <f t="shared" si="10"/>
        <v>证券投资部</v>
      </c>
      <c r="E172" s="125">
        <f t="shared" ref="E172:E173" si="15">-C172</f>
        <v>0</v>
      </c>
      <c r="F172" s="125" t="str">
        <f t="shared" si="11"/>
        <v>量化产品投资部</v>
      </c>
      <c r="G172" s="168"/>
      <c r="H172" s="169"/>
      <c r="I172" s="169"/>
    </row>
    <row r="173" spans="1:9">
      <c r="A173" s="123" t="s">
        <v>377</v>
      </c>
      <c r="B173" s="123" t="s">
        <v>43</v>
      </c>
      <c r="C173" s="167">
        <f t="shared" si="14"/>
        <v>0</v>
      </c>
      <c r="D173" s="125" t="str">
        <f t="shared" si="10"/>
        <v>证券投资部</v>
      </c>
      <c r="E173" s="125">
        <f t="shared" si="15"/>
        <v>0</v>
      </c>
      <c r="F173" s="125" t="str">
        <f t="shared" si="11"/>
        <v>量化产品投资部</v>
      </c>
      <c r="G173" s="168"/>
      <c r="H173" s="169"/>
      <c r="I173" s="169"/>
    </row>
    <row r="174" spans="1:9">
      <c r="A174" s="123" t="s">
        <v>380</v>
      </c>
      <c r="B174" s="123" t="s">
        <v>43</v>
      </c>
      <c r="C174" s="167">
        <f t="shared" si="14"/>
        <v>-271.7</v>
      </c>
      <c r="D174" s="125" t="str">
        <f t="shared" si="10"/>
        <v>证券投资部</v>
      </c>
      <c r="E174" s="125">
        <f t="shared" si="12"/>
        <v>271.7</v>
      </c>
      <c r="F174" s="125" t="str">
        <f t="shared" si="11"/>
        <v>量化产品投资部</v>
      </c>
      <c r="G174" s="168"/>
      <c r="H174" s="169"/>
      <c r="I174" s="169"/>
    </row>
    <row r="175" spans="1:9">
      <c r="A175" s="123" t="s">
        <v>383</v>
      </c>
      <c r="B175" s="123" t="s">
        <v>43</v>
      </c>
      <c r="C175" s="167">
        <f t="shared" si="14"/>
        <v>0</v>
      </c>
      <c r="D175" s="125" t="str">
        <f t="shared" si="10"/>
        <v>金融衍生品部</v>
      </c>
      <c r="E175" s="125">
        <f t="shared" si="12"/>
        <v>0</v>
      </c>
      <c r="F175" s="125" t="str">
        <f t="shared" si="11"/>
        <v>其他</v>
      </c>
      <c r="G175" s="168"/>
      <c r="H175" s="169"/>
      <c r="I175" s="169"/>
    </row>
    <row r="176" spans="1:9">
      <c r="A176" s="123" t="s">
        <v>440</v>
      </c>
      <c r="B176" s="123" t="s">
        <v>43</v>
      </c>
      <c r="C176" s="167">
        <f t="shared" si="14"/>
        <v>-1837.01</v>
      </c>
      <c r="D176" s="125" t="str">
        <f t="shared" si="10"/>
        <v>金融衍生品部</v>
      </c>
      <c r="E176" s="125">
        <f t="shared" si="12"/>
        <v>1837.01</v>
      </c>
      <c r="F176" s="125" t="str">
        <f t="shared" si="11"/>
        <v>经纪业务部</v>
      </c>
      <c r="G176" s="168"/>
      <c r="H176" s="169"/>
      <c r="I176" s="169"/>
    </row>
    <row r="177" spans="1:9">
      <c r="A177" s="123" t="s">
        <v>386</v>
      </c>
      <c r="B177" s="123" t="s">
        <v>43</v>
      </c>
      <c r="C177" s="167">
        <f t="shared" si="14"/>
        <v>-238.87</v>
      </c>
      <c r="D177" s="125" t="str">
        <f t="shared" si="10"/>
        <v>资产管理部</v>
      </c>
      <c r="E177" s="125">
        <f t="shared" si="12"/>
        <v>238.87</v>
      </c>
      <c r="F177" s="125" t="str">
        <f t="shared" si="11"/>
        <v>经纪业务部</v>
      </c>
      <c r="G177" s="168"/>
      <c r="H177" s="169"/>
      <c r="I177" s="169"/>
    </row>
    <row r="178" spans="1:9">
      <c r="A178" s="123" t="s">
        <v>441</v>
      </c>
      <c r="B178" s="123" t="s">
        <v>43</v>
      </c>
      <c r="C178" s="167">
        <f t="shared" si="14"/>
        <v>361.76</v>
      </c>
      <c r="D178" s="125" t="str">
        <f t="shared" si="10"/>
        <v>资产管理部</v>
      </c>
      <c r="E178" s="125">
        <f t="shared" si="12"/>
        <v>-361.76</v>
      </c>
      <c r="F178" s="125" t="str">
        <f t="shared" si="11"/>
        <v>经纪业务部</v>
      </c>
      <c r="G178" s="168"/>
      <c r="H178" s="169"/>
      <c r="I178" s="169"/>
    </row>
    <row r="179" spans="1:9">
      <c r="A179" s="123" t="s">
        <v>388</v>
      </c>
      <c r="B179" s="123" t="s">
        <v>43</v>
      </c>
      <c r="C179" s="167">
        <f t="shared" si="14"/>
        <v>4686.79</v>
      </c>
      <c r="D179" s="125" t="str">
        <f t="shared" si="10"/>
        <v>固定收益市场部</v>
      </c>
      <c r="E179" s="125">
        <f t="shared" si="12"/>
        <v>-4686.79</v>
      </c>
      <c r="F179" s="125" t="str">
        <f t="shared" si="11"/>
        <v>投顾业务部</v>
      </c>
      <c r="G179" s="168"/>
      <c r="H179" s="169"/>
      <c r="I179" s="169"/>
    </row>
    <row r="180" spans="1:9">
      <c r="A180" s="123" t="s">
        <v>390</v>
      </c>
      <c r="B180" s="123" t="s">
        <v>43</v>
      </c>
      <c r="C180" s="167">
        <f t="shared" si="14"/>
        <v>-807.19</v>
      </c>
      <c r="D180" s="125" t="str">
        <f t="shared" si="10"/>
        <v>投顾业务部</v>
      </c>
      <c r="E180" s="125">
        <f t="shared" si="12"/>
        <v>807.19</v>
      </c>
      <c r="F180" s="125" t="str">
        <f t="shared" si="11"/>
        <v>经纪业务部</v>
      </c>
      <c r="G180" s="168"/>
      <c r="H180" s="169"/>
      <c r="I180" s="169"/>
    </row>
    <row r="181" spans="1:9">
      <c r="A181" s="123" t="s">
        <v>392</v>
      </c>
      <c r="B181" s="123" t="s">
        <v>43</v>
      </c>
      <c r="C181" s="167">
        <f t="shared" si="14"/>
        <v>54339.62</v>
      </c>
      <c r="D181" s="125" t="str">
        <f t="shared" si="10"/>
        <v>投资银行一部</v>
      </c>
      <c r="E181" s="125">
        <f t="shared" si="12"/>
        <v>-54339.62</v>
      </c>
      <c r="F181" s="125" t="str">
        <f t="shared" si="11"/>
        <v>其他</v>
      </c>
      <c r="G181" s="168"/>
      <c r="H181" s="169"/>
      <c r="I181" s="169"/>
    </row>
    <row r="182" spans="1:9">
      <c r="A182" s="123" t="s">
        <v>394</v>
      </c>
      <c r="B182" s="123" t="s">
        <v>43</v>
      </c>
      <c r="C182" s="167">
        <f t="shared" si="14"/>
        <v>576</v>
      </c>
      <c r="D182" s="125" t="str">
        <f t="shared" si="10"/>
        <v>经纪业务部</v>
      </c>
      <c r="E182" s="125">
        <f t="shared" si="12"/>
        <v>-576</v>
      </c>
      <c r="F182" s="125" t="str">
        <f t="shared" si="11"/>
        <v>投资银行一部</v>
      </c>
      <c r="G182" s="168"/>
      <c r="H182" s="169"/>
      <c r="I182" s="169"/>
    </row>
    <row r="183" spans="1:9">
      <c r="A183" s="123" t="s">
        <v>396</v>
      </c>
      <c r="B183" s="123" t="s">
        <v>43</v>
      </c>
      <c r="C183" s="167">
        <f t="shared" si="14"/>
        <v>0</v>
      </c>
      <c r="D183" s="125" t="str">
        <f t="shared" si="10"/>
        <v>投资银行四部</v>
      </c>
      <c r="E183" s="125">
        <f t="shared" si="12"/>
        <v>0</v>
      </c>
      <c r="F183" s="125" t="str">
        <f t="shared" si="11"/>
        <v>做市业务部</v>
      </c>
      <c r="G183" s="168"/>
      <c r="H183" s="169"/>
      <c r="I183" s="169"/>
    </row>
    <row r="184" spans="1:9">
      <c r="A184" s="123" t="s">
        <v>442</v>
      </c>
      <c r="B184" s="123" t="s">
        <v>43</v>
      </c>
      <c r="C184" s="167">
        <f t="shared" si="14"/>
        <v>-67.92</v>
      </c>
      <c r="D184" s="125" t="str">
        <f t="shared" si="10"/>
        <v>投资银行一部</v>
      </c>
      <c r="E184" s="125">
        <f t="shared" si="12"/>
        <v>67.92</v>
      </c>
      <c r="F184" s="125" t="str">
        <f t="shared" si="11"/>
        <v>其他</v>
      </c>
      <c r="G184" s="168"/>
      <c r="H184" s="169"/>
      <c r="I184" s="169"/>
    </row>
    <row r="185" spans="1:9">
      <c r="A185" s="123" t="s">
        <v>443</v>
      </c>
      <c r="B185" s="123" t="s">
        <v>43</v>
      </c>
      <c r="C185" s="167">
        <f t="shared" si="14"/>
        <v>127.09</v>
      </c>
      <c r="D185" s="125" t="str">
        <f t="shared" si="10"/>
        <v>投资银行四部</v>
      </c>
      <c r="E185" s="125">
        <f t="shared" si="12"/>
        <v>-127.09</v>
      </c>
      <c r="F185" s="125" t="str">
        <f t="shared" si="11"/>
        <v>做市业务部</v>
      </c>
      <c r="G185" s="168"/>
      <c r="H185" s="169"/>
      <c r="I185" s="169"/>
    </row>
    <row r="186" spans="1:9">
      <c r="A186" s="123" t="s">
        <v>444</v>
      </c>
      <c r="B186" s="123" t="s">
        <v>43</v>
      </c>
      <c r="C186" s="167">
        <f t="shared" si="14"/>
        <v>-1704.24</v>
      </c>
      <c r="D186" s="125" t="str">
        <f t="shared" si="10"/>
        <v>固定收益市场部</v>
      </c>
      <c r="E186" s="125">
        <f t="shared" si="12"/>
        <v>1704.24</v>
      </c>
      <c r="F186" s="125" t="str">
        <f t="shared" si="11"/>
        <v>资产管理部</v>
      </c>
      <c r="G186" s="168"/>
      <c r="H186" s="169"/>
      <c r="I186" s="169"/>
    </row>
    <row r="187" spans="1:9">
      <c r="A187" s="123" t="s">
        <v>399</v>
      </c>
      <c r="B187" s="123" t="s">
        <v>43</v>
      </c>
      <c r="C187" s="167">
        <f t="shared" si="14"/>
        <v>-1661.04</v>
      </c>
      <c r="D187" s="125" t="str">
        <f t="shared" si="10"/>
        <v>固定收益投资部</v>
      </c>
      <c r="E187" s="125">
        <f t="shared" si="12"/>
        <v>1661.04</v>
      </c>
      <c r="F187" s="125" t="str">
        <f t="shared" si="11"/>
        <v>资产管理部</v>
      </c>
      <c r="G187" s="168"/>
      <c r="H187" s="169"/>
      <c r="I187" s="169"/>
    </row>
    <row r="188" spans="1:9">
      <c r="A188" s="123" t="s">
        <v>402</v>
      </c>
      <c r="B188" s="123" t="s">
        <v>43</v>
      </c>
      <c r="C188" s="167">
        <f t="shared" si="14"/>
        <v>-1548.72</v>
      </c>
      <c r="D188" s="125" t="str">
        <f t="shared" si="10"/>
        <v>投顾业务部</v>
      </c>
      <c r="E188" s="125">
        <f t="shared" si="12"/>
        <v>1548.72</v>
      </c>
      <c r="F188" s="125" t="str">
        <f t="shared" si="11"/>
        <v>资产管理部</v>
      </c>
      <c r="G188" s="168"/>
      <c r="H188" s="169"/>
      <c r="I188" s="169"/>
    </row>
    <row r="189" spans="1:9">
      <c r="A189" s="123" t="s">
        <v>445</v>
      </c>
      <c r="B189" s="123" t="s">
        <v>43</v>
      </c>
      <c r="C189" s="167">
        <f t="shared" si="14"/>
        <v>-36871.92</v>
      </c>
      <c r="D189" s="125" t="str">
        <f t="shared" si="10"/>
        <v>证券投资部</v>
      </c>
      <c r="E189" s="125">
        <f t="shared" si="12"/>
        <v>36871.92</v>
      </c>
      <c r="F189" s="125" t="str">
        <f t="shared" si="11"/>
        <v>资产管理部</v>
      </c>
      <c r="G189" s="168"/>
      <c r="H189" s="169"/>
      <c r="I189" s="169"/>
    </row>
    <row r="190" spans="1:9">
      <c r="A190" s="123" t="s">
        <v>408</v>
      </c>
      <c r="B190" s="123" t="s">
        <v>43</v>
      </c>
      <c r="C190" s="167">
        <f t="shared" si="14"/>
        <v>-1043.28</v>
      </c>
      <c r="D190" s="125" t="str">
        <f t="shared" si="10"/>
        <v>金融衍生品部</v>
      </c>
      <c r="E190" s="125">
        <f t="shared" si="12"/>
        <v>1043.28</v>
      </c>
      <c r="F190" s="125" t="str">
        <f t="shared" si="11"/>
        <v>资产管理部</v>
      </c>
      <c r="G190" s="168"/>
      <c r="H190" s="169"/>
      <c r="I190" s="169"/>
    </row>
    <row r="191" spans="1:9">
      <c r="A191" s="123" t="s">
        <v>446</v>
      </c>
      <c r="B191" s="123" t="s">
        <v>43</v>
      </c>
      <c r="C191" s="167">
        <f t="shared" si="14"/>
        <v>-4078.8</v>
      </c>
      <c r="D191" s="125" t="str">
        <f t="shared" si="10"/>
        <v>做市业务部</v>
      </c>
      <c r="E191" s="125">
        <f t="shared" si="12"/>
        <v>4078.8</v>
      </c>
      <c r="F191" s="125" t="str">
        <f t="shared" si="11"/>
        <v>资产管理部</v>
      </c>
      <c r="G191" s="171"/>
      <c r="H191" s="171"/>
      <c r="I191" s="169"/>
    </row>
    <row r="192" spans="1:9">
      <c r="A192" s="123" t="s">
        <v>447</v>
      </c>
      <c r="B192" s="123" t="s">
        <v>43</v>
      </c>
      <c r="C192" s="167">
        <f t="shared" si="14"/>
        <v>16327</v>
      </c>
      <c r="D192" s="125" t="str">
        <f t="shared" si="10"/>
        <v>证券投资部</v>
      </c>
      <c r="E192" s="125">
        <f t="shared" si="12"/>
        <v>-16327</v>
      </c>
      <c r="F192" s="125" t="str">
        <f t="shared" si="11"/>
        <v>金融衍生品部</v>
      </c>
      <c r="G192" s="171"/>
      <c r="H192" s="171"/>
      <c r="I192" s="169"/>
    </row>
    <row r="193" spans="1:9">
      <c r="A193" s="123" t="s">
        <v>448</v>
      </c>
      <c r="B193" s="123" t="s">
        <v>43</v>
      </c>
      <c r="C193" s="167">
        <f t="shared" ref="C193:C208" si="16">ROUND(IF(OR(LEFT(B113,1)="2",(LEFT(B113,1)="4")),0,C113*0.06*0.12),2)</f>
        <v>0</v>
      </c>
      <c r="D193" s="125" t="str">
        <f t="shared" si="10"/>
        <v>证券投资部</v>
      </c>
      <c r="E193" s="125">
        <f t="shared" si="12"/>
        <v>0</v>
      </c>
      <c r="F193" s="125" t="str">
        <f t="shared" si="11"/>
        <v>固定收益投资部</v>
      </c>
      <c r="G193" s="171"/>
      <c r="H193" s="173"/>
      <c r="I193" s="169"/>
    </row>
    <row r="194" spans="1:9">
      <c r="A194" s="123" t="s">
        <v>449</v>
      </c>
      <c r="B194" s="123" t="s">
        <v>43</v>
      </c>
      <c r="C194" s="167">
        <f t="shared" si="16"/>
        <v>-951.12</v>
      </c>
      <c r="D194" s="125" t="str">
        <f t="shared" si="10"/>
        <v>量化产品投资部</v>
      </c>
      <c r="E194" s="125">
        <f t="shared" si="12"/>
        <v>951.12</v>
      </c>
      <c r="F194" s="125" t="str">
        <f t="shared" si="11"/>
        <v>资产管理部</v>
      </c>
      <c r="G194" s="171"/>
      <c r="H194" s="173"/>
      <c r="I194" s="169"/>
    </row>
    <row r="195" spans="1:9">
      <c r="A195" s="123" t="s">
        <v>450</v>
      </c>
      <c r="B195" s="123" t="s">
        <v>43</v>
      </c>
      <c r="C195" s="167">
        <f t="shared" si="16"/>
        <v>-41802.48</v>
      </c>
      <c r="D195" s="125" t="str">
        <f t="shared" si="10"/>
        <v>权益产品投资部</v>
      </c>
      <c r="E195" s="125">
        <f t="shared" si="12"/>
        <v>41802.48</v>
      </c>
      <c r="F195" s="125" t="str">
        <f t="shared" si="11"/>
        <v>资产管理部</v>
      </c>
      <c r="G195" s="171"/>
      <c r="H195" s="173"/>
      <c r="I195" s="169"/>
    </row>
    <row r="196" spans="1:9">
      <c r="A196" s="123" t="s">
        <v>451</v>
      </c>
      <c r="B196" s="123" t="s">
        <v>43</v>
      </c>
      <c r="C196" s="167">
        <f t="shared" si="16"/>
        <v>-1548.72</v>
      </c>
      <c r="D196" s="125" t="str">
        <f t="shared" ref="D196:D210" si="17">D116</f>
        <v>固收产品投资部</v>
      </c>
      <c r="E196" s="125">
        <f t="shared" si="12"/>
        <v>1548.72</v>
      </c>
      <c r="F196" s="125" t="str">
        <f t="shared" ref="F196:F210" si="18">F116</f>
        <v>资产管理部</v>
      </c>
      <c r="G196" s="171"/>
      <c r="H196" s="173"/>
      <c r="I196" s="169"/>
    </row>
    <row r="197" s="97" customFormat="1" spans="1:22">
      <c r="A197" s="123"/>
      <c r="B197" s="123" t="s">
        <v>43</v>
      </c>
      <c r="C197" s="167">
        <f t="shared" si="16"/>
        <v>0</v>
      </c>
      <c r="D197" s="125" t="str">
        <f t="shared" si="17"/>
        <v>做市业务部</v>
      </c>
      <c r="E197" s="125">
        <f t="shared" ref="E197:E208" si="19">-C197</f>
        <v>0</v>
      </c>
      <c r="F197" s="125" t="str">
        <f t="shared" si="18"/>
        <v>其他</v>
      </c>
      <c r="G197" s="132"/>
      <c r="H197" s="132"/>
      <c r="I197" s="132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</row>
    <row r="198" s="97" customFormat="1" spans="1:22">
      <c r="A198" s="123"/>
      <c r="B198" s="123" t="s">
        <v>43</v>
      </c>
      <c r="C198" s="167">
        <f t="shared" si="16"/>
        <v>-1152</v>
      </c>
      <c r="D198" s="125" t="str">
        <f t="shared" si="17"/>
        <v>投资银行三部</v>
      </c>
      <c r="E198" s="125">
        <f t="shared" si="19"/>
        <v>1152</v>
      </c>
      <c r="F198" s="125" t="str">
        <f t="shared" si="18"/>
        <v>经纪业务部</v>
      </c>
      <c r="G198" s="132"/>
      <c r="H198" s="132"/>
      <c r="I198" s="132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</row>
    <row r="199" s="97" customFormat="1" spans="1:22">
      <c r="A199" s="123"/>
      <c r="B199" s="123" t="s">
        <v>43</v>
      </c>
      <c r="C199" s="167">
        <f t="shared" si="16"/>
        <v>-339.62</v>
      </c>
      <c r="D199" s="125" t="str">
        <f t="shared" si="17"/>
        <v>投资银行一部</v>
      </c>
      <c r="E199" s="125">
        <f t="shared" si="19"/>
        <v>339.62</v>
      </c>
      <c r="F199" s="125" t="str">
        <f t="shared" si="18"/>
        <v>经纪业务部</v>
      </c>
      <c r="G199" s="132"/>
      <c r="H199" s="132"/>
      <c r="I199" s="132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</row>
    <row r="200" s="97" customFormat="1" spans="1:22">
      <c r="A200" s="123" t="s">
        <v>446</v>
      </c>
      <c r="B200" s="123" t="s">
        <v>43</v>
      </c>
      <c r="C200" s="167">
        <f t="shared" si="16"/>
        <v>884.78</v>
      </c>
      <c r="D200" s="125" t="str">
        <f t="shared" si="17"/>
        <v>投资银行一部</v>
      </c>
      <c r="E200" s="125">
        <f t="shared" si="19"/>
        <v>-884.78</v>
      </c>
      <c r="F200" s="125" t="str">
        <f t="shared" si="18"/>
        <v>其他</v>
      </c>
      <c r="G200" s="132"/>
      <c r="H200" s="132"/>
      <c r="I200" s="132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</row>
    <row r="201" s="97" customFormat="1" spans="1:22">
      <c r="A201" s="123" t="s">
        <v>446</v>
      </c>
      <c r="B201" s="123" t="s">
        <v>43</v>
      </c>
      <c r="C201" s="167">
        <f t="shared" si="16"/>
        <v>-135.85</v>
      </c>
      <c r="D201" s="125" t="str">
        <f t="shared" si="17"/>
        <v>投资银行一部</v>
      </c>
      <c r="E201" s="125">
        <f t="shared" si="19"/>
        <v>135.85</v>
      </c>
      <c r="F201" s="125" t="str">
        <f t="shared" si="18"/>
        <v>固定收益市场部</v>
      </c>
      <c r="G201" s="132"/>
      <c r="H201" s="132"/>
      <c r="I201" s="132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</row>
    <row r="202" spans="1:9">
      <c r="A202" s="123" t="s">
        <v>446</v>
      </c>
      <c r="B202" s="123" t="s">
        <v>43</v>
      </c>
      <c r="C202" s="167">
        <f t="shared" si="16"/>
        <v>-815.09</v>
      </c>
      <c r="D202" s="125" t="str">
        <f t="shared" si="17"/>
        <v>投资银行一部</v>
      </c>
      <c r="E202" s="125">
        <f t="shared" si="19"/>
        <v>815.09</v>
      </c>
      <c r="F202" s="125" t="str">
        <f t="shared" si="18"/>
        <v>其他</v>
      </c>
      <c r="G202" s="171"/>
      <c r="H202" s="173"/>
      <c r="I202" s="169"/>
    </row>
    <row r="203" spans="1:9">
      <c r="A203" s="123" t="s">
        <v>446</v>
      </c>
      <c r="B203" s="123" t="s">
        <v>43</v>
      </c>
      <c r="C203" s="167">
        <f t="shared" si="16"/>
        <v>-69.65</v>
      </c>
      <c r="D203" s="125" t="str">
        <f t="shared" si="17"/>
        <v>量化产品投资部</v>
      </c>
      <c r="E203" s="125">
        <f t="shared" si="19"/>
        <v>69.65</v>
      </c>
      <c r="F203" s="125" t="str">
        <f t="shared" si="18"/>
        <v>经纪业务部</v>
      </c>
      <c r="G203" s="132"/>
      <c r="H203" s="173"/>
      <c r="I203" s="169"/>
    </row>
    <row r="204" spans="1:9">
      <c r="A204" s="123" t="s">
        <v>446</v>
      </c>
      <c r="B204" s="123" t="s">
        <v>43</v>
      </c>
      <c r="C204" s="167">
        <f t="shared" si="16"/>
        <v>-277.24</v>
      </c>
      <c r="D204" s="125" t="str">
        <f t="shared" si="17"/>
        <v>资产管理部</v>
      </c>
      <c r="E204" s="125">
        <f t="shared" si="19"/>
        <v>277.24</v>
      </c>
      <c r="F204" s="125" t="str">
        <f t="shared" si="18"/>
        <v>权益产品投资部</v>
      </c>
      <c r="G204" s="171"/>
      <c r="H204" s="173"/>
      <c r="I204" s="169"/>
    </row>
    <row r="205" spans="1:9">
      <c r="A205" s="123"/>
      <c r="B205" s="123" t="s">
        <v>43</v>
      </c>
      <c r="C205" s="167">
        <f t="shared" si="16"/>
        <v>-831.72</v>
      </c>
      <c r="D205" s="125" t="str">
        <f t="shared" si="17"/>
        <v>资产管理部</v>
      </c>
      <c r="E205" s="125">
        <f t="shared" si="19"/>
        <v>831.72</v>
      </c>
      <c r="F205" s="125" t="str">
        <f t="shared" si="18"/>
        <v>经纪业务部</v>
      </c>
      <c r="G205" s="171"/>
      <c r="H205" s="173"/>
      <c r="I205" s="169"/>
    </row>
    <row r="206" spans="1:9">
      <c r="A206" s="123"/>
      <c r="B206" s="123" t="s">
        <v>43</v>
      </c>
      <c r="C206" s="167">
        <f t="shared" si="16"/>
        <v>-84.63</v>
      </c>
      <c r="D206" s="125" t="str">
        <f t="shared" si="17"/>
        <v>资产管理部</v>
      </c>
      <c r="E206" s="125">
        <f t="shared" si="19"/>
        <v>84.63</v>
      </c>
      <c r="F206" s="125" t="str">
        <f t="shared" si="18"/>
        <v>权益产品投资部</v>
      </c>
      <c r="G206" s="171"/>
      <c r="H206" s="174"/>
      <c r="I206" s="169"/>
    </row>
    <row r="207" spans="1:9">
      <c r="A207" s="123"/>
      <c r="B207" s="123" t="s">
        <v>43</v>
      </c>
      <c r="C207" s="167">
        <f t="shared" si="16"/>
        <v>-253.91</v>
      </c>
      <c r="D207" s="125" t="str">
        <f t="shared" si="17"/>
        <v>资产管理部</v>
      </c>
      <c r="E207" s="125">
        <f t="shared" si="19"/>
        <v>253.91</v>
      </c>
      <c r="F207" s="125" t="str">
        <f t="shared" si="18"/>
        <v>经纪业务部</v>
      </c>
      <c r="G207" s="171"/>
      <c r="H207" s="173"/>
      <c r="I207" s="169"/>
    </row>
    <row r="208" spans="1:9">
      <c r="A208" s="123"/>
      <c r="B208" s="123" t="s">
        <v>43</v>
      </c>
      <c r="C208" s="167">
        <f t="shared" si="16"/>
        <v>-94.15</v>
      </c>
      <c r="D208" s="125" t="str">
        <f t="shared" si="17"/>
        <v>量化产品投资部</v>
      </c>
      <c r="E208" s="125">
        <f t="shared" si="19"/>
        <v>94.15</v>
      </c>
      <c r="F208" s="125" t="str">
        <f t="shared" si="18"/>
        <v>经纪业务部</v>
      </c>
      <c r="G208" s="171"/>
      <c r="H208" s="173"/>
      <c r="I208" s="169"/>
    </row>
    <row r="209" spans="1:9">
      <c r="A209" s="123"/>
      <c r="B209" s="123" t="s">
        <v>43</v>
      </c>
      <c r="C209" s="167">
        <f t="shared" ref="C209:C210" si="20">ROUND(IF(OR(LEFT(B129,1)="2",(LEFT(B129,1)="4")),0,C129*0.06*0.12),2)</f>
        <v>-3891.03</v>
      </c>
      <c r="D209" s="125" t="str">
        <f t="shared" si="17"/>
        <v>证券投资部</v>
      </c>
      <c r="E209" s="125">
        <f t="shared" ref="E209:E210" si="21">-C209</f>
        <v>3891.03</v>
      </c>
      <c r="F209" s="125" t="str">
        <f t="shared" si="18"/>
        <v>其他</v>
      </c>
      <c r="G209" s="171"/>
      <c r="H209" s="173"/>
      <c r="I209" s="169"/>
    </row>
    <row r="210" spans="1:9">
      <c r="A210" s="123"/>
      <c r="B210" s="123" t="s">
        <v>43</v>
      </c>
      <c r="C210" s="167">
        <f t="shared" si="20"/>
        <v>0</v>
      </c>
      <c r="D210" s="125" t="str">
        <f t="shared" si="17"/>
        <v>证券投资部</v>
      </c>
      <c r="E210" s="125">
        <f t="shared" si="21"/>
        <v>0</v>
      </c>
      <c r="F210" s="125" t="str">
        <f t="shared" si="18"/>
        <v>其他</v>
      </c>
      <c r="G210" s="171"/>
      <c r="H210" s="173"/>
      <c r="I210" s="169"/>
    </row>
    <row r="211" spans="1:9">
      <c r="A211" s="118" t="s">
        <v>452</v>
      </c>
      <c r="B211" s="118" t="s">
        <v>453</v>
      </c>
      <c r="C211" s="122">
        <f>SUM(C212:C333)</f>
        <v>751594.153025001</v>
      </c>
      <c r="D211" s="175"/>
      <c r="E211" s="122">
        <f>SUM(E212:E333)</f>
        <v>-751594.153025001</v>
      </c>
      <c r="F211" s="176"/>
      <c r="G211" s="118" t="s">
        <v>301</v>
      </c>
      <c r="H211" s="176" t="s">
        <v>302</v>
      </c>
      <c r="I211" s="176" t="s">
        <v>303</v>
      </c>
    </row>
    <row r="212" spans="1:9">
      <c r="A212" s="123" t="s">
        <v>291</v>
      </c>
      <c r="B212" s="123" t="s">
        <v>44</v>
      </c>
      <c r="C212" s="139">
        <f t="shared" ref="C212:C222" si="22">ROUND(C52*0.0175,2)</f>
        <v>-163534.26</v>
      </c>
      <c r="D212" s="125" t="str">
        <f t="shared" ref="D212:D243" si="23">D52</f>
        <v>证券投资部</v>
      </c>
      <c r="E212" s="125">
        <f>-C212</f>
        <v>163534.26</v>
      </c>
      <c r="F212" s="125" t="str">
        <f t="shared" ref="F212:F243" si="24">F52</f>
        <v>总部中后台</v>
      </c>
      <c r="G212" s="125" t="s">
        <v>106</v>
      </c>
      <c r="H212" s="132"/>
      <c r="I212" s="132"/>
    </row>
    <row r="213" spans="1:9">
      <c r="A213" s="123" t="s">
        <v>307</v>
      </c>
      <c r="B213" s="123" t="s">
        <v>44</v>
      </c>
      <c r="C213" s="139">
        <f t="shared" si="22"/>
        <v>-38009.67</v>
      </c>
      <c r="D213" s="125" t="str">
        <f t="shared" si="23"/>
        <v>经纪业务部</v>
      </c>
      <c r="E213" s="125">
        <f t="shared" ref="E213:E276" si="25">-C213</f>
        <v>38009.67</v>
      </c>
      <c r="F213" s="125" t="str">
        <f t="shared" si="24"/>
        <v>固定收益市场部</v>
      </c>
      <c r="G213" s="125" t="s">
        <v>106</v>
      </c>
      <c r="H213" s="132"/>
      <c r="I213" s="132"/>
    </row>
    <row r="214" spans="1:9">
      <c r="A214" s="123" t="s">
        <v>309</v>
      </c>
      <c r="B214" s="123" t="s">
        <v>44</v>
      </c>
      <c r="C214" s="139">
        <f t="shared" si="22"/>
        <v>92351.16</v>
      </c>
      <c r="D214" s="125" t="str">
        <f t="shared" si="23"/>
        <v>证券投资部</v>
      </c>
      <c r="E214" s="125">
        <f t="shared" si="25"/>
        <v>-92351.16</v>
      </c>
      <c r="F214" s="125" t="str">
        <f t="shared" si="24"/>
        <v>固定收益投资部</v>
      </c>
      <c r="G214" s="125" t="s">
        <v>106</v>
      </c>
      <c r="H214" s="132"/>
      <c r="I214" s="132"/>
    </row>
    <row r="215" spans="1:9">
      <c r="A215" s="123" t="s">
        <v>312</v>
      </c>
      <c r="B215" s="123" t="s">
        <v>44</v>
      </c>
      <c r="C215" s="139">
        <f t="shared" si="22"/>
        <v>6984.68</v>
      </c>
      <c r="D215" s="125" t="str">
        <f t="shared" si="23"/>
        <v>证券投资部</v>
      </c>
      <c r="E215" s="125">
        <f t="shared" si="25"/>
        <v>-6984.68</v>
      </c>
      <c r="F215" s="125" t="str">
        <f t="shared" si="24"/>
        <v>金融衍生品部</v>
      </c>
      <c r="G215" s="125" t="s">
        <v>106</v>
      </c>
      <c r="H215" s="132"/>
      <c r="I215" s="132"/>
    </row>
    <row r="216" spans="1:9">
      <c r="A216" s="123" t="s">
        <v>314</v>
      </c>
      <c r="B216" s="123" t="s">
        <v>44</v>
      </c>
      <c r="C216" s="139">
        <f t="shared" si="22"/>
        <v>107669.09</v>
      </c>
      <c r="D216" s="125" t="str">
        <f t="shared" si="23"/>
        <v>证券投资部</v>
      </c>
      <c r="E216" s="125">
        <f t="shared" si="25"/>
        <v>-107669.09</v>
      </c>
      <c r="F216" s="125" t="str">
        <f t="shared" si="24"/>
        <v>量化产品投资部</v>
      </c>
      <c r="G216" s="125" t="s">
        <v>106</v>
      </c>
      <c r="H216" s="132"/>
      <c r="I216" s="132"/>
    </row>
    <row r="217" spans="1:9">
      <c r="A217" s="123" t="s">
        <v>316</v>
      </c>
      <c r="B217" s="123" t="s">
        <v>44</v>
      </c>
      <c r="C217" s="139">
        <f t="shared" si="22"/>
        <v>1427.15</v>
      </c>
      <c r="D217" s="125" t="str">
        <f t="shared" si="23"/>
        <v>证券投资部</v>
      </c>
      <c r="E217" s="125">
        <f t="shared" si="25"/>
        <v>-1427.15</v>
      </c>
      <c r="F217" s="125" t="str">
        <f t="shared" si="24"/>
        <v>固定收益投资部</v>
      </c>
      <c r="G217" s="125" t="s">
        <v>106</v>
      </c>
      <c r="H217" s="132"/>
      <c r="I217" s="132"/>
    </row>
    <row r="218" spans="1:9">
      <c r="A218" s="123" t="s">
        <v>318</v>
      </c>
      <c r="B218" s="123" t="s">
        <v>44</v>
      </c>
      <c r="C218" s="139">
        <f t="shared" si="22"/>
        <v>-2993.12</v>
      </c>
      <c r="D218" s="125" t="str">
        <f t="shared" si="23"/>
        <v>证券投资部</v>
      </c>
      <c r="E218" s="125">
        <f t="shared" si="25"/>
        <v>2993.12</v>
      </c>
      <c r="F218" s="125" t="str">
        <f t="shared" si="24"/>
        <v>固定收益投资部</v>
      </c>
      <c r="G218" s="125" t="s">
        <v>106</v>
      </c>
      <c r="H218" s="132"/>
      <c r="I218" s="132"/>
    </row>
    <row r="219" spans="1:9">
      <c r="A219" s="123" t="s">
        <v>434</v>
      </c>
      <c r="B219" s="123" t="s">
        <v>44</v>
      </c>
      <c r="C219" s="139">
        <f t="shared" si="22"/>
        <v>-20696.23</v>
      </c>
      <c r="D219" s="125" t="str">
        <f t="shared" si="23"/>
        <v>投资银行三部</v>
      </c>
      <c r="E219" s="125">
        <f t="shared" si="25"/>
        <v>20696.23</v>
      </c>
      <c r="F219" s="125" t="str">
        <f t="shared" si="24"/>
        <v>经纪业务部</v>
      </c>
      <c r="G219" s="125" t="s">
        <v>106</v>
      </c>
      <c r="H219" s="132"/>
      <c r="I219" s="132"/>
    </row>
    <row r="220" spans="1:9">
      <c r="A220" s="123" t="s">
        <v>424</v>
      </c>
      <c r="B220" s="123" t="s">
        <v>44</v>
      </c>
      <c r="C220" s="139">
        <f t="shared" si="22"/>
        <v>79269.29</v>
      </c>
      <c r="D220" s="125" t="str">
        <f t="shared" si="23"/>
        <v>固定收益市场部</v>
      </c>
      <c r="E220" s="125">
        <f t="shared" si="25"/>
        <v>-79269.29</v>
      </c>
      <c r="F220" s="125" t="str">
        <f t="shared" si="24"/>
        <v>其他</v>
      </c>
      <c r="G220" s="125" t="s">
        <v>106</v>
      </c>
      <c r="H220" s="132"/>
      <c r="I220" s="132"/>
    </row>
    <row r="221" spans="1:9">
      <c r="A221" s="123" t="s">
        <v>320</v>
      </c>
      <c r="B221" s="123" t="s">
        <v>44</v>
      </c>
      <c r="C221" s="139">
        <f t="shared" si="22"/>
        <v>-94653.4</v>
      </c>
      <c r="D221" s="125" t="str">
        <f t="shared" si="23"/>
        <v>固定收益市场部</v>
      </c>
      <c r="E221" s="125">
        <f t="shared" si="25"/>
        <v>94653.4</v>
      </c>
      <c r="F221" s="125" t="str">
        <f t="shared" si="24"/>
        <v>总部中后台</v>
      </c>
      <c r="G221" s="125" t="s">
        <v>106</v>
      </c>
      <c r="H221" s="132"/>
      <c r="I221" s="132"/>
    </row>
    <row r="222" spans="1:9">
      <c r="A222" s="123" t="s">
        <v>322</v>
      </c>
      <c r="B222" s="123" t="s">
        <v>44</v>
      </c>
      <c r="C222" s="139">
        <f t="shared" si="22"/>
        <v>-112329.12</v>
      </c>
      <c r="D222" s="125" t="str">
        <f t="shared" si="23"/>
        <v>固定收益市场部</v>
      </c>
      <c r="E222" s="125">
        <f t="shared" si="25"/>
        <v>112329.12</v>
      </c>
      <c r="F222" s="125" t="str">
        <f t="shared" si="24"/>
        <v>其他</v>
      </c>
      <c r="G222" s="125" t="s">
        <v>106</v>
      </c>
      <c r="H222" s="132"/>
      <c r="I222" s="132"/>
    </row>
    <row r="223" spans="1:9">
      <c r="A223" s="123" t="s">
        <v>324</v>
      </c>
      <c r="B223" s="123" t="s">
        <v>44</v>
      </c>
      <c r="C223" s="139"/>
      <c r="D223" s="125" t="str">
        <f t="shared" si="23"/>
        <v>经纪业务部</v>
      </c>
      <c r="E223" s="125">
        <f t="shared" si="25"/>
        <v>0</v>
      </c>
      <c r="F223" s="125" t="str">
        <f t="shared" si="24"/>
        <v>其他</v>
      </c>
      <c r="G223" s="125" t="s">
        <v>106</v>
      </c>
      <c r="H223" s="132" t="s">
        <v>454</v>
      </c>
      <c r="I223" s="132"/>
    </row>
    <row r="224" spans="1:9">
      <c r="A224" s="123" t="s">
        <v>326</v>
      </c>
      <c r="B224" s="123" t="s">
        <v>44</v>
      </c>
      <c r="C224" s="139">
        <f t="shared" ref="C224:C230" si="26">ROUND(C64*0.0175,2)</f>
        <v>439199.36</v>
      </c>
      <c r="D224" s="125" t="str">
        <f t="shared" si="23"/>
        <v>经纪业务部</v>
      </c>
      <c r="E224" s="125">
        <f t="shared" si="25"/>
        <v>-439199.36</v>
      </c>
      <c r="F224" s="125" t="str">
        <f t="shared" si="24"/>
        <v>总部中后台</v>
      </c>
      <c r="G224" s="125" t="s">
        <v>106</v>
      </c>
      <c r="H224" s="132"/>
      <c r="I224" s="132"/>
    </row>
    <row r="225" spans="1:9">
      <c r="A225" s="123" t="s">
        <v>328</v>
      </c>
      <c r="B225" s="123" t="s">
        <v>44</v>
      </c>
      <c r="C225" s="139">
        <f t="shared" si="26"/>
        <v>54872.22</v>
      </c>
      <c r="D225" s="125" t="str">
        <f t="shared" si="23"/>
        <v>投资银行一部</v>
      </c>
      <c r="E225" s="125">
        <f t="shared" si="25"/>
        <v>-54872.22</v>
      </c>
      <c r="F225" s="125" t="str">
        <f t="shared" si="24"/>
        <v>总部中后台</v>
      </c>
      <c r="G225" s="125" t="s">
        <v>106</v>
      </c>
      <c r="H225" s="132"/>
      <c r="I225" s="132"/>
    </row>
    <row r="226" spans="1:9">
      <c r="A226" s="123" t="s">
        <v>330</v>
      </c>
      <c r="B226" s="123" t="s">
        <v>44</v>
      </c>
      <c r="C226" s="139">
        <f t="shared" si="26"/>
        <v>2811.67</v>
      </c>
      <c r="D226" s="125" t="str">
        <f t="shared" si="23"/>
        <v>投资银行二部</v>
      </c>
      <c r="E226" s="125">
        <f t="shared" si="25"/>
        <v>-2811.67</v>
      </c>
      <c r="F226" s="125" t="str">
        <f t="shared" si="24"/>
        <v>总部中后台</v>
      </c>
      <c r="G226" s="125" t="s">
        <v>106</v>
      </c>
      <c r="H226" s="132"/>
      <c r="I226" s="132"/>
    </row>
    <row r="227" spans="1:9">
      <c r="A227" s="123" t="s">
        <v>332</v>
      </c>
      <c r="B227" s="123" t="s">
        <v>44</v>
      </c>
      <c r="C227" s="139">
        <f t="shared" si="26"/>
        <v>-4791.18</v>
      </c>
      <c r="D227" s="125" t="str">
        <f t="shared" si="23"/>
        <v>量化产品投资部</v>
      </c>
      <c r="E227" s="125">
        <f t="shared" si="25"/>
        <v>4791.18</v>
      </c>
      <c r="F227" s="125" t="str">
        <f t="shared" si="24"/>
        <v>总部中后台</v>
      </c>
      <c r="G227" s="125" t="s">
        <v>106</v>
      </c>
      <c r="H227" s="132"/>
      <c r="I227" s="132"/>
    </row>
    <row r="228" spans="1:9">
      <c r="A228" s="123" t="s">
        <v>334</v>
      </c>
      <c r="B228" s="123" t="s">
        <v>44</v>
      </c>
      <c r="C228" s="139">
        <f t="shared" si="26"/>
        <v>-19836.9</v>
      </c>
      <c r="D228" s="125" t="str">
        <f t="shared" si="23"/>
        <v>固定收益投资部</v>
      </c>
      <c r="E228" s="125">
        <f t="shared" si="25"/>
        <v>19836.9</v>
      </c>
      <c r="F228" s="125" t="str">
        <f t="shared" si="24"/>
        <v>总部中后台</v>
      </c>
      <c r="G228" s="125" t="s">
        <v>106</v>
      </c>
      <c r="H228" s="132"/>
      <c r="I228" s="132"/>
    </row>
    <row r="229" spans="1:9">
      <c r="A229" s="123" t="s">
        <v>356</v>
      </c>
      <c r="B229" s="123" t="s">
        <v>44</v>
      </c>
      <c r="C229" s="139">
        <f t="shared" si="26"/>
        <v>68755.92</v>
      </c>
      <c r="D229" s="125" t="str">
        <f t="shared" si="23"/>
        <v>经纪业务部</v>
      </c>
      <c r="E229" s="125">
        <f t="shared" si="25"/>
        <v>-68755.92</v>
      </c>
      <c r="F229" s="125" t="str">
        <f t="shared" si="24"/>
        <v>其他</v>
      </c>
      <c r="G229" s="125" t="s">
        <v>106</v>
      </c>
      <c r="H229" s="132"/>
      <c r="I229" s="132"/>
    </row>
    <row r="230" spans="1:9">
      <c r="A230" s="123" t="s">
        <v>336</v>
      </c>
      <c r="B230" s="123" t="s">
        <v>44</v>
      </c>
      <c r="C230" s="139">
        <f t="shared" si="26"/>
        <v>-1767.45</v>
      </c>
      <c r="D230" s="125" t="str">
        <f t="shared" si="23"/>
        <v>金融衍生品部</v>
      </c>
      <c r="E230" s="125">
        <f t="shared" si="25"/>
        <v>1767.45</v>
      </c>
      <c r="F230" s="125" t="str">
        <f t="shared" si="24"/>
        <v>总部中后台</v>
      </c>
      <c r="G230" s="125" t="s">
        <v>106</v>
      </c>
      <c r="H230" s="132"/>
      <c r="I230" s="132"/>
    </row>
    <row r="231" spans="1:9">
      <c r="A231" s="123" t="s">
        <v>338</v>
      </c>
      <c r="B231" s="123" t="s">
        <v>44</v>
      </c>
      <c r="C231" s="139"/>
      <c r="D231" s="125" t="str">
        <f t="shared" si="23"/>
        <v>经纪业务部</v>
      </c>
      <c r="E231" s="125">
        <f t="shared" si="25"/>
        <v>0</v>
      </c>
      <c r="F231" s="125" t="str">
        <f t="shared" si="24"/>
        <v>其他</v>
      </c>
      <c r="G231" s="125" t="s">
        <v>106</v>
      </c>
      <c r="H231" s="132" t="s">
        <v>454</v>
      </c>
      <c r="I231" s="132"/>
    </row>
    <row r="232" spans="1:9">
      <c r="A232" s="123" t="s">
        <v>340</v>
      </c>
      <c r="B232" s="123" t="s">
        <v>44</v>
      </c>
      <c r="C232" s="139">
        <f t="shared" ref="C232:C254" si="27">ROUND(C72*0.0175,2)</f>
        <v>9905.66</v>
      </c>
      <c r="D232" s="125" t="str">
        <f t="shared" si="23"/>
        <v>投资银行一部</v>
      </c>
      <c r="E232" s="125">
        <f t="shared" si="25"/>
        <v>-9905.66</v>
      </c>
      <c r="F232" s="125" t="str">
        <f t="shared" si="24"/>
        <v>投资银行管理部</v>
      </c>
      <c r="G232" s="125" t="s">
        <v>106</v>
      </c>
      <c r="H232" s="132"/>
      <c r="I232" s="132"/>
    </row>
    <row r="233" spans="1:9">
      <c r="A233" s="123" t="s">
        <v>342</v>
      </c>
      <c r="B233" s="123" t="s">
        <v>44</v>
      </c>
      <c r="C233" s="139">
        <f t="shared" si="27"/>
        <v>-11553.82</v>
      </c>
      <c r="D233" s="125" t="str">
        <f t="shared" si="23"/>
        <v>固收产品投资部</v>
      </c>
      <c r="E233" s="125">
        <f t="shared" si="25"/>
        <v>11553.82</v>
      </c>
      <c r="F233" s="125" t="str">
        <f t="shared" si="24"/>
        <v>经纪业务部</v>
      </c>
      <c r="G233" s="125" t="s">
        <v>106</v>
      </c>
      <c r="H233" s="132"/>
      <c r="I233" s="132"/>
    </row>
    <row r="234" spans="1:9">
      <c r="A234" s="123" t="s">
        <v>344</v>
      </c>
      <c r="B234" s="123" t="s">
        <v>44</v>
      </c>
      <c r="C234" s="139">
        <f t="shared" si="27"/>
        <v>-6783.23</v>
      </c>
      <c r="D234" s="125" t="str">
        <f t="shared" si="23"/>
        <v>资产管理部</v>
      </c>
      <c r="E234" s="125">
        <f t="shared" si="25"/>
        <v>6783.23</v>
      </c>
      <c r="F234" s="125" t="str">
        <f t="shared" si="24"/>
        <v>经纪业务部</v>
      </c>
      <c r="G234" s="125" t="s">
        <v>106</v>
      </c>
      <c r="H234" s="132"/>
      <c r="I234" s="132"/>
    </row>
    <row r="235" spans="1:9">
      <c r="A235" s="123" t="s">
        <v>346</v>
      </c>
      <c r="B235" s="123" t="s">
        <v>44</v>
      </c>
      <c r="C235" s="139">
        <f t="shared" si="27"/>
        <v>-27579.75</v>
      </c>
      <c r="D235" s="125" t="str">
        <f t="shared" si="23"/>
        <v>资产管理部</v>
      </c>
      <c r="E235" s="125">
        <f t="shared" si="25"/>
        <v>27579.75</v>
      </c>
      <c r="F235" s="125" t="str">
        <f t="shared" si="24"/>
        <v>其他</v>
      </c>
      <c r="G235" s="125" t="s">
        <v>106</v>
      </c>
      <c r="H235" s="132"/>
      <c r="I235" s="132"/>
    </row>
    <row r="236" spans="1:9">
      <c r="A236" s="123" t="s">
        <v>348</v>
      </c>
      <c r="B236" s="123" t="s">
        <v>44</v>
      </c>
      <c r="C236" s="139">
        <f t="shared" si="27"/>
        <v>27579.75</v>
      </c>
      <c r="D236" s="125" t="str">
        <f t="shared" si="23"/>
        <v>资产管理部</v>
      </c>
      <c r="E236" s="125">
        <f t="shared" si="25"/>
        <v>-27579.75</v>
      </c>
      <c r="F236" s="125" t="str">
        <f t="shared" si="24"/>
        <v>其他</v>
      </c>
      <c r="G236" s="125" t="s">
        <v>106</v>
      </c>
      <c r="H236" s="132"/>
      <c r="I236" s="132"/>
    </row>
    <row r="237" spans="1:9">
      <c r="A237" s="123" t="s">
        <v>351</v>
      </c>
      <c r="B237" s="123" t="s">
        <v>44</v>
      </c>
      <c r="C237" s="139">
        <f t="shared" si="27"/>
        <v>-6273.58</v>
      </c>
      <c r="D237" s="125" t="str">
        <f t="shared" si="23"/>
        <v>资产管理部</v>
      </c>
      <c r="E237" s="125">
        <f t="shared" si="25"/>
        <v>6273.58</v>
      </c>
      <c r="F237" s="125" t="str">
        <f t="shared" si="24"/>
        <v>投资银行一部</v>
      </c>
      <c r="G237" s="125" t="s">
        <v>106</v>
      </c>
      <c r="H237" s="132"/>
      <c r="I237" s="132"/>
    </row>
    <row r="238" spans="1:9">
      <c r="A238" s="123" t="s">
        <v>354</v>
      </c>
      <c r="B238" s="123" t="s">
        <v>44</v>
      </c>
      <c r="C238" s="139">
        <f t="shared" si="27"/>
        <v>-503.88</v>
      </c>
      <c r="D238" s="125" t="str">
        <f t="shared" si="23"/>
        <v>做市业务部</v>
      </c>
      <c r="E238" s="125">
        <f t="shared" si="25"/>
        <v>503.88</v>
      </c>
      <c r="F238" s="125" t="str">
        <f t="shared" si="24"/>
        <v>投资银行三部</v>
      </c>
      <c r="G238" s="125" t="s">
        <v>106</v>
      </c>
      <c r="H238" s="132"/>
      <c r="I238" s="132"/>
    </row>
    <row r="239" spans="1:9">
      <c r="A239" s="123" t="s">
        <v>437</v>
      </c>
      <c r="B239" s="123" t="s">
        <v>44</v>
      </c>
      <c r="C239" s="139">
        <f t="shared" si="27"/>
        <v>1645.04</v>
      </c>
      <c r="D239" s="125" t="str">
        <f t="shared" si="23"/>
        <v>做市业务部</v>
      </c>
      <c r="E239" s="125">
        <f t="shared" si="25"/>
        <v>-1645.04</v>
      </c>
      <c r="F239" s="125" t="str">
        <f t="shared" si="24"/>
        <v>投资银行三部</v>
      </c>
      <c r="G239" s="125" t="s">
        <v>106</v>
      </c>
      <c r="H239" s="132"/>
      <c r="I239" s="132"/>
    </row>
    <row r="240" spans="1:9">
      <c r="A240" s="123" t="s">
        <v>438</v>
      </c>
      <c r="B240" s="123" t="s">
        <v>44</v>
      </c>
      <c r="C240" s="139">
        <f t="shared" si="27"/>
        <v>22415.94</v>
      </c>
      <c r="D240" s="125" t="str">
        <f t="shared" si="23"/>
        <v>固定收益投资部</v>
      </c>
      <c r="E240" s="125">
        <f t="shared" si="25"/>
        <v>-22415.94</v>
      </c>
      <c r="F240" s="125" t="str">
        <f t="shared" si="24"/>
        <v>投顾业务部</v>
      </c>
      <c r="G240" s="125" t="s">
        <v>106</v>
      </c>
      <c r="H240" s="132"/>
      <c r="I240" s="132"/>
    </row>
    <row r="241" spans="1:9">
      <c r="A241" s="123" t="s">
        <v>358</v>
      </c>
      <c r="B241" s="123" t="s">
        <v>44</v>
      </c>
      <c r="C241" s="139">
        <f t="shared" si="27"/>
        <v>-34763.1</v>
      </c>
      <c r="D241" s="125" t="str">
        <f t="shared" si="23"/>
        <v>固收产品投资部</v>
      </c>
      <c r="E241" s="125">
        <f t="shared" si="25"/>
        <v>34763.1</v>
      </c>
      <c r="F241" s="125" t="str">
        <f t="shared" si="24"/>
        <v>投顾业务部</v>
      </c>
      <c r="G241" s="125" t="s">
        <v>106</v>
      </c>
      <c r="H241" s="132"/>
      <c r="I241" s="132"/>
    </row>
    <row r="242" spans="1:9">
      <c r="A242" s="123" t="s">
        <v>360</v>
      </c>
      <c r="B242" s="123" t="s">
        <v>44</v>
      </c>
      <c r="C242" s="139">
        <f t="shared" si="27"/>
        <v>-183.09</v>
      </c>
      <c r="D242" s="125" t="str">
        <f t="shared" si="23"/>
        <v>固收产品投资部</v>
      </c>
      <c r="E242" s="125">
        <f t="shared" si="25"/>
        <v>183.09</v>
      </c>
      <c r="F242" s="125" t="str">
        <f t="shared" si="24"/>
        <v>投顾业务部</v>
      </c>
      <c r="G242" s="125" t="s">
        <v>106</v>
      </c>
      <c r="H242" s="132"/>
      <c r="I242" s="132"/>
    </row>
    <row r="243" spans="1:9">
      <c r="A243" s="123" t="s">
        <v>362</v>
      </c>
      <c r="B243" s="123" t="s">
        <v>44</v>
      </c>
      <c r="C243" s="139">
        <f t="shared" si="27"/>
        <v>-1114.06</v>
      </c>
      <c r="D243" s="125" t="str">
        <f t="shared" si="23"/>
        <v>固收产品投资部</v>
      </c>
      <c r="E243" s="125">
        <f t="shared" si="25"/>
        <v>1114.06</v>
      </c>
      <c r="F243" s="125" t="str">
        <f t="shared" si="24"/>
        <v>投顾业务部</v>
      </c>
      <c r="G243" s="125" t="s">
        <v>106</v>
      </c>
      <c r="H243" s="132"/>
      <c r="I243" s="132"/>
    </row>
    <row r="244" spans="1:9">
      <c r="A244" s="123" t="s">
        <v>439</v>
      </c>
      <c r="B244" s="123" t="s">
        <v>44</v>
      </c>
      <c r="C244" s="139">
        <f t="shared" si="27"/>
        <v>-4416.23</v>
      </c>
      <c r="D244" s="125" t="str">
        <f t="shared" ref="D244:D275" si="28">D84</f>
        <v>固收产品投资部</v>
      </c>
      <c r="E244" s="125">
        <f t="shared" si="25"/>
        <v>4416.23</v>
      </c>
      <c r="F244" s="125" t="str">
        <f t="shared" ref="F244:F275" si="29">F84</f>
        <v>投顾业务部</v>
      </c>
      <c r="G244" s="125" t="s">
        <v>106</v>
      </c>
      <c r="H244" s="132"/>
      <c r="I244" s="132"/>
    </row>
    <row r="245" spans="1:9">
      <c r="A245" s="123" t="s">
        <v>363</v>
      </c>
      <c r="B245" s="123" t="s">
        <v>44</v>
      </c>
      <c r="C245" s="139">
        <f t="shared" si="27"/>
        <v>253.15</v>
      </c>
      <c r="D245" s="125" t="str">
        <f t="shared" si="28"/>
        <v>经纪业务部</v>
      </c>
      <c r="E245" s="125">
        <f t="shared" si="25"/>
        <v>-253.15</v>
      </c>
      <c r="F245" s="125" t="str">
        <f t="shared" si="29"/>
        <v>固收产品投资部</v>
      </c>
      <c r="G245" s="125" t="s">
        <v>106</v>
      </c>
      <c r="H245" s="132"/>
      <c r="I245" s="132"/>
    </row>
    <row r="246" spans="1:9">
      <c r="A246" s="123" t="s">
        <v>365</v>
      </c>
      <c r="B246" s="123" t="s">
        <v>44</v>
      </c>
      <c r="C246" s="139">
        <f t="shared" si="27"/>
        <v>-7594.34</v>
      </c>
      <c r="D246" s="125" t="str">
        <f t="shared" si="28"/>
        <v>资产管理部</v>
      </c>
      <c r="E246" s="125">
        <f t="shared" si="25"/>
        <v>7594.34</v>
      </c>
      <c r="F246" s="125" t="str">
        <f t="shared" si="29"/>
        <v>经纪业务部</v>
      </c>
      <c r="G246" s="125" t="s">
        <v>106</v>
      </c>
      <c r="H246" s="132"/>
      <c r="I246" s="132"/>
    </row>
    <row r="247" spans="1:9">
      <c r="A247" s="123" t="s">
        <v>365</v>
      </c>
      <c r="B247" s="123" t="s">
        <v>44</v>
      </c>
      <c r="C247" s="139">
        <f t="shared" si="27"/>
        <v>-2265</v>
      </c>
      <c r="D247" s="125" t="str">
        <f t="shared" si="28"/>
        <v>资产管理部</v>
      </c>
      <c r="E247" s="125">
        <f t="shared" si="25"/>
        <v>2265</v>
      </c>
      <c r="F247" s="125" t="str">
        <f t="shared" si="29"/>
        <v>经纪业务部</v>
      </c>
      <c r="G247" s="125" t="s">
        <v>106</v>
      </c>
      <c r="H247" s="132"/>
      <c r="I247" s="132"/>
    </row>
    <row r="248" spans="1:9">
      <c r="A248" s="123" t="s">
        <v>367</v>
      </c>
      <c r="B248" s="123" t="s">
        <v>44</v>
      </c>
      <c r="C248" s="139">
        <f t="shared" si="27"/>
        <v>-20955.52</v>
      </c>
      <c r="D248" s="125" t="str">
        <f t="shared" si="28"/>
        <v>资产管理部</v>
      </c>
      <c r="E248" s="125">
        <f t="shared" si="25"/>
        <v>20955.52</v>
      </c>
      <c r="F248" s="125" t="str">
        <f t="shared" si="29"/>
        <v>经纪业务部</v>
      </c>
      <c r="G248" s="125" t="s">
        <v>106</v>
      </c>
      <c r="H248" s="132"/>
      <c r="I248" s="132"/>
    </row>
    <row r="249" spans="1:9">
      <c r="A249" s="123" t="s">
        <v>369</v>
      </c>
      <c r="B249" s="123" t="s">
        <v>44</v>
      </c>
      <c r="C249" s="139">
        <f t="shared" si="27"/>
        <v>-5064.73</v>
      </c>
      <c r="D249" s="125" t="str">
        <f t="shared" si="28"/>
        <v>资产管理部</v>
      </c>
      <c r="E249" s="125">
        <f t="shared" si="25"/>
        <v>5064.73</v>
      </c>
      <c r="F249" s="125" t="str">
        <f t="shared" si="29"/>
        <v>经纪业务部</v>
      </c>
      <c r="G249" s="125" t="s">
        <v>106</v>
      </c>
      <c r="H249" s="132"/>
      <c r="I249" s="132"/>
    </row>
    <row r="250" spans="1:9">
      <c r="A250" s="123" t="s">
        <v>371</v>
      </c>
      <c r="B250" s="123" t="s">
        <v>44</v>
      </c>
      <c r="C250" s="139">
        <f t="shared" si="27"/>
        <v>-10453.77</v>
      </c>
      <c r="D250" s="125" t="str">
        <f t="shared" si="28"/>
        <v>投资银行三部</v>
      </c>
      <c r="E250" s="125">
        <f t="shared" si="25"/>
        <v>10453.77</v>
      </c>
      <c r="F250" s="125" t="str">
        <f t="shared" si="29"/>
        <v>其他</v>
      </c>
      <c r="G250" s="125" t="s">
        <v>106</v>
      </c>
      <c r="H250" s="132"/>
      <c r="I250" s="132"/>
    </row>
    <row r="251" spans="1:9">
      <c r="A251" s="123" t="s">
        <v>414</v>
      </c>
      <c r="B251" s="123" t="s">
        <v>44</v>
      </c>
      <c r="C251" s="139">
        <f t="shared" si="27"/>
        <v>119331.91</v>
      </c>
      <c r="D251" s="125" t="str">
        <f t="shared" si="28"/>
        <v>证券投资部</v>
      </c>
      <c r="E251" s="125">
        <f t="shared" si="25"/>
        <v>-119331.91</v>
      </c>
      <c r="F251" s="125" t="str">
        <f t="shared" si="29"/>
        <v>量化产品投资部</v>
      </c>
      <c r="G251" s="125" t="s">
        <v>106</v>
      </c>
      <c r="H251" s="132"/>
      <c r="I251" s="132"/>
    </row>
    <row r="252" spans="1:9">
      <c r="A252" s="123" t="s">
        <v>374</v>
      </c>
      <c r="B252" s="123" t="s">
        <v>44</v>
      </c>
      <c r="C252" s="139">
        <f t="shared" si="27"/>
        <v>-62053.38</v>
      </c>
      <c r="D252" s="125" t="str">
        <f t="shared" si="28"/>
        <v>证券投资部</v>
      </c>
      <c r="E252" s="125">
        <f t="shared" si="25"/>
        <v>62053.38</v>
      </c>
      <c r="F252" s="125" t="str">
        <f t="shared" si="29"/>
        <v>量化产品投资部</v>
      </c>
      <c r="G252" s="125" t="s">
        <v>106</v>
      </c>
      <c r="H252" s="132"/>
      <c r="I252" s="132"/>
    </row>
    <row r="253" spans="1:9">
      <c r="A253" s="123" t="s">
        <v>377</v>
      </c>
      <c r="B253" s="123" t="s">
        <v>44</v>
      </c>
      <c r="C253" s="139">
        <f t="shared" si="27"/>
        <v>-45571.79</v>
      </c>
      <c r="D253" s="125" t="str">
        <f t="shared" si="28"/>
        <v>证券投资部</v>
      </c>
      <c r="E253" s="125">
        <f t="shared" si="25"/>
        <v>45571.79</v>
      </c>
      <c r="F253" s="125" t="str">
        <f t="shared" si="29"/>
        <v>量化产品投资部</v>
      </c>
      <c r="G253" s="125" t="s">
        <v>106</v>
      </c>
      <c r="H253" s="132"/>
      <c r="I253" s="132"/>
    </row>
    <row r="254" spans="1:9">
      <c r="A254" s="123" t="s">
        <v>380</v>
      </c>
      <c r="B254" s="123" t="s">
        <v>44</v>
      </c>
      <c r="C254" s="139">
        <f t="shared" si="27"/>
        <v>-660.38</v>
      </c>
      <c r="D254" s="125" t="str">
        <f t="shared" si="28"/>
        <v>证券投资部</v>
      </c>
      <c r="E254" s="125">
        <f t="shared" si="25"/>
        <v>660.38</v>
      </c>
      <c r="F254" s="125" t="str">
        <f t="shared" si="29"/>
        <v>量化产品投资部</v>
      </c>
      <c r="G254" s="125" t="s">
        <v>106</v>
      </c>
      <c r="H254" s="132"/>
      <c r="I254" s="132"/>
    </row>
    <row r="255" spans="1:9">
      <c r="A255" s="123" t="s">
        <v>383</v>
      </c>
      <c r="B255" s="177" t="s">
        <v>44</v>
      </c>
      <c r="C255" s="178">
        <f>17691127.03*0.0175</f>
        <v>309594.723025</v>
      </c>
      <c r="D255" s="179" t="str">
        <f t="shared" si="28"/>
        <v>金融衍生品部</v>
      </c>
      <c r="E255" s="179">
        <f t="shared" si="25"/>
        <v>-309594.723025</v>
      </c>
      <c r="F255" s="179" t="str">
        <f t="shared" si="29"/>
        <v>其他</v>
      </c>
      <c r="G255" s="179" t="s">
        <v>106</v>
      </c>
      <c r="H255" s="132"/>
      <c r="I255" s="132" t="s">
        <v>455</v>
      </c>
    </row>
    <row r="256" spans="1:9">
      <c r="A256" s="123" t="s">
        <v>440</v>
      </c>
      <c r="B256" s="123" t="s">
        <v>44</v>
      </c>
      <c r="C256" s="139">
        <f t="shared" ref="C256:C290" si="30">ROUND(C96*0.0175,2)</f>
        <v>-4464.94</v>
      </c>
      <c r="D256" s="125" t="str">
        <f t="shared" si="28"/>
        <v>金融衍生品部</v>
      </c>
      <c r="E256" s="125">
        <f t="shared" si="25"/>
        <v>4464.94</v>
      </c>
      <c r="F256" s="125" t="str">
        <f t="shared" si="29"/>
        <v>经纪业务部</v>
      </c>
      <c r="G256" s="125" t="s">
        <v>106</v>
      </c>
      <c r="H256" s="132"/>
      <c r="I256" s="132"/>
    </row>
    <row r="257" spans="1:9">
      <c r="A257" s="123" t="s">
        <v>386</v>
      </c>
      <c r="B257" s="123" t="s">
        <v>44</v>
      </c>
      <c r="C257" s="139">
        <f t="shared" si="30"/>
        <v>-580.58</v>
      </c>
      <c r="D257" s="125" t="str">
        <f t="shared" si="28"/>
        <v>资产管理部</v>
      </c>
      <c r="E257" s="125">
        <f t="shared" si="25"/>
        <v>580.58</v>
      </c>
      <c r="F257" s="125" t="str">
        <f t="shared" si="29"/>
        <v>经纪业务部</v>
      </c>
      <c r="G257" s="125" t="s">
        <v>106</v>
      </c>
      <c r="H257" s="132"/>
      <c r="I257" s="132"/>
    </row>
    <row r="258" spans="1:9">
      <c r="A258" s="123" t="s">
        <v>441</v>
      </c>
      <c r="B258" s="123" t="s">
        <v>44</v>
      </c>
      <c r="C258" s="139">
        <f t="shared" si="30"/>
        <v>879.28</v>
      </c>
      <c r="D258" s="125" t="str">
        <f t="shared" si="28"/>
        <v>资产管理部</v>
      </c>
      <c r="E258" s="125">
        <f t="shared" si="25"/>
        <v>-879.28</v>
      </c>
      <c r="F258" s="125" t="str">
        <f t="shared" si="29"/>
        <v>经纪业务部</v>
      </c>
      <c r="G258" s="125" t="s">
        <v>106</v>
      </c>
      <c r="H258" s="132"/>
      <c r="I258" s="132"/>
    </row>
    <row r="259" spans="1:9">
      <c r="A259" s="123" t="s">
        <v>388</v>
      </c>
      <c r="B259" s="123" t="s">
        <v>44</v>
      </c>
      <c r="C259" s="139">
        <f t="shared" si="30"/>
        <v>11391.5</v>
      </c>
      <c r="D259" s="125" t="str">
        <f t="shared" si="28"/>
        <v>固定收益市场部</v>
      </c>
      <c r="E259" s="125">
        <f t="shared" si="25"/>
        <v>-11391.5</v>
      </c>
      <c r="F259" s="125" t="str">
        <f t="shared" si="29"/>
        <v>投顾业务部</v>
      </c>
      <c r="G259" s="125" t="s">
        <v>106</v>
      </c>
      <c r="H259" s="132"/>
      <c r="I259" s="132"/>
    </row>
    <row r="260" spans="1:9">
      <c r="A260" s="123" t="s">
        <v>390</v>
      </c>
      <c r="B260" s="123" t="s">
        <v>44</v>
      </c>
      <c r="C260" s="139">
        <f t="shared" si="30"/>
        <v>-1961.91</v>
      </c>
      <c r="D260" s="125" t="str">
        <f t="shared" si="28"/>
        <v>投顾业务部</v>
      </c>
      <c r="E260" s="125">
        <f t="shared" si="25"/>
        <v>1961.91</v>
      </c>
      <c r="F260" s="125" t="str">
        <f t="shared" si="29"/>
        <v>经纪业务部</v>
      </c>
      <c r="G260" s="125" t="s">
        <v>106</v>
      </c>
      <c r="H260" s="132"/>
      <c r="I260" s="132"/>
    </row>
    <row r="261" spans="1:9">
      <c r="A261" s="123" t="s">
        <v>392</v>
      </c>
      <c r="B261" s="123" t="s">
        <v>44</v>
      </c>
      <c r="C261" s="139">
        <f t="shared" si="30"/>
        <v>132075.47</v>
      </c>
      <c r="D261" s="125" t="str">
        <f t="shared" si="28"/>
        <v>投资银行一部</v>
      </c>
      <c r="E261" s="125">
        <f t="shared" si="25"/>
        <v>-132075.47</v>
      </c>
      <c r="F261" s="125" t="str">
        <f t="shared" si="29"/>
        <v>其他</v>
      </c>
      <c r="G261" s="125" t="s">
        <v>106</v>
      </c>
      <c r="H261" s="132"/>
      <c r="I261" s="132"/>
    </row>
    <row r="262" spans="1:9">
      <c r="A262" s="123" t="s">
        <v>394</v>
      </c>
      <c r="B262" s="123" t="s">
        <v>44</v>
      </c>
      <c r="C262" s="139">
        <f t="shared" si="30"/>
        <v>1400</v>
      </c>
      <c r="D262" s="125" t="str">
        <f t="shared" si="28"/>
        <v>经纪业务部</v>
      </c>
      <c r="E262" s="125">
        <f t="shared" si="25"/>
        <v>-1400</v>
      </c>
      <c r="F262" s="125" t="str">
        <f t="shared" si="29"/>
        <v>投资银行一部</v>
      </c>
      <c r="G262" s="125" t="s">
        <v>106</v>
      </c>
      <c r="H262" s="132"/>
      <c r="I262" s="132"/>
    </row>
    <row r="263" spans="1:9">
      <c r="A263" s="123" t="s">
        <v>396</v>
      </c>
      <c r="B263" s="123" t="s">
        <v>44</v>
      </c>
      <c r="C263" s="139">
        <f t="shared" si="30"/>
        <v>-10632.33</v>
      </c>
      <c r="D263" s="125" t="str">
        <f t="shared" si="28"/>
        <v>投资银行四部</v>
      </c>
      <c r="E263" s="125">
        <f t="shared" si="25"/>
        <v>10632.33</v>
      </c>
      <c r="F263" s="125" t="str">
        <f t="shared" si="29"/>
        <v>做市业务部</v>
      </c>
      <c r="G263" s="125" t="s">
        <v>106</v>
      </c>
      <c r="H263" s="132"/>
      <c r="I263" s="132"/>
    </row>
    <row r="264" spans="1:9">
      <c r="A264" s="123" t="s">
        <v>442</v>
      </c>
      <c r="B264" s="123" t="s">
        <v>44</v>
      </c>
      <c r="C264" s="139">
        <f t="shared" si="30"/>
        <v>-165.09</v>
      </c>
      <c r="D264" s="125" t="str">
        <f t="shared" si="28"/>
        <v>投资银行一部</v>
      </c>
      <c r="E264" s="125">
        <f t="shared" si="25"/>
        <v>165.09</v>
      </c>
      <c r="F264" s="125" t="str">
        <f t="shared" si="29"/>
        <v>其他</v>
      </c>
      <c r="G264" s="125" t="s">
        <v>106</v>
      </c>
      <c r="H264" s="132"/>
      <c r="I264" s="132"/>
    </row>
    <row r="265" spans="1:9">
      <c r="A265" s="123" t="s">
        <v>443</v>
      </c>
      <c r="B265" s="123" t="s">
        <v>44</v>
      </c>
      <c r="C265" s="139">
        <f t="shared" si="30"/>
        <v>308.91</v>
      </c>
      <c r="D265" s="125" t="str">
        <f t="shared" si="28"/>
        <v>投资银行四部</v>
      </c>
      <c r="E265" s="125">
        <f t="shared" si="25"/>
        <v>-308.91</v>
      </c>
      <c r="F265" s="125" t="str">
        <f t="shared" si="29"/>
        <v>做市业务部</v>
      </c>
      <c r="G265" s="125" t="s">
        <v>106</v>
      </c>
      <c r="H265" s="132"/>
      <c r="I265" s="132"/>
    </row>
    <row r="266" spans="1:9">
      <c r="A266" s="123" t="s">
        <v>444</v>
      </c>
      <c r="B266" s="123" t="s">
        <v>44</v>
      </c>
      <c r="C266" s="139">
        <f t="shared" si="30"/>
        <v>-4142.25</v>
      </c>
      <c r="D266" s="125" t="str">
        <f t="shared" si="28"/>
        <v>固定收益市场部</v>
      </c>
      <c r="E266" s="125">
        <f t="shared" si="25"/>
        <v>4142.25</v>
      </c>
      <c r="F266" s="125" t="str">
        <f t="shared" si="29"/>
        <v>资产管理部</v>
      </c>
      <c r="G266" s="125" t="s">
        <v>106</v>
      </c>
      <c r="H266" s="132"/>
      <c r="I266" s="132"/>
    </row>
    <row r="267" spans="1:9">
      <c r="A267" s="123" t="s">
        <v>399</v>
      </c>
      <c r="B267" s="123" t="s">
        <v>44</v>
      </c>
      <c r="C267" s="139">
        <f t="shared" si="30"/>
        <v>-4037.25</v>
      </c>
      <c r="D267" s="125" t="str">
        <f t="shared" si="28"/>
        <v>固定收益投资部</v>
      </c>
      <c r="E267" s="125">
        <f t="shared" si="25"/>
        <v>4037.25</v>
      </c>
      <c r="F267" s="125" t="str">
        <f t="shared" si="29"/>
        <v>资产管理部</v>
      </c>
      <c r="G267" s="125" t="s">
        <v>106</v>
      </c>
      <c r="H267" s="132"/>
      <c r="I267" s="132"/>
    </row>
    <row r="268" spans="1:9">
      <c r="A268" s="123" t="s">
        <v>402</v>
      </c>
      <c r="B268" s="123" t="s">
        <v>44</v>
      </c>
      <c r="C268" s="139">
        <f t="shared" si="30"/>
        <v>-3764.25</v>
      </c>
      <c r="D268" s="125" t="str">
        <f t="shared" si="28"/>
        <v>投顾业务部</v>
      </c>
      <c r="E268" s="125">
        <f t="shared" si="25"/>
        <v>3764.25</v>
      </c>
      <c r="F268" s="125" t="str">
        <f t="shared" si="29"/>
        <v>资产管理部</v>
      </c>
      <c r="G268" s="125" t="s">
        <v>106</v>
      </c>
      <c r="H268" s="132"/>
      <c r="I268" s="132"/>
    </row>
    <row r="269" spans="1:9">
      <c r="A269" s="123" t="s">
        <v>445</v>
      </c>
      <c r="B269" s="123" t="s">
        <v>44</v>
      </c>
      <c r="C269" s="139">
        <f t="shared" si="30"/>
        <v>-89619.25</v>
      </c>
      <c r="D269" s="125" t="str">
        <f t="shared" si="28"/>
        <v>证券投资部</v>
      </c>
      <c r="E269" s="125">
        <f t="shared" si="25"/>
        <v>89619.25</v>
      </c>
      <c r="F269" s="125" t="str">
        <f t="shared" si="29"/>
        <v>资产管理部</v>
      </c>
      <c r="G269" s="125" t="s">
        <v>106</v>
      </c>
      <c r="H269" s="132"/>
      <c r="I269" s="132"/>
    </row>
    <row r="270" spans="1:9">
      <c r="A270" s="123" t="s">
        <v>408</v>
      </c>
      <c r="B270" s="123" t="s">
        <v>44</v>
      </c>
      <c r="C270" s="139">
        <f t="shared" si="30"/>
        <v>-2535.75</v>
      </c>
      <c r="D270" s="125" t="str">
        <f t="shared" si="28"/>
        <v>金融衍生品部</v>
      </c>
      <c r="E270" s="125">
        <f t="shared" si="25"/>
        <v>2535.75</v>
      </c>
      <c r="F270" s="125" t="str">
        <f t="shared" si="29"/>
        <v>资产管理部</v>
      </c>
      <c r="G270" s="125" t="s">
        <v>106</v>
      </c>
      <c r="H270" s="132"/>
      <c r="I270" s="132"/>
    </row>
    <row r="271" spans="1:9">
      <c r="A271" s="123" t="s">
        <v>446</v>
      </c>
      <c r="B271" s="123" t="s">
        <v>44</v>
      </c>
      <c r="C271" s="139">
        <f t="shared" si="30"/>
        <v>-9913.75</v>
      </c>
      <c r="D271" s="125" t="str">
        <f t="shared" si="28"/>
        <v>做市业务部</v>
      </c>
      <c r="E271" s="125">
        <f t="shared" si="25"/>
        <v>9913.75</v>
      </c>
      <c r="F271" s="125" t="str">
        <f t="shared" si="29"/>
        <v>资产管理部</v>
      </c>
      <c r="G271" s="125" t="s">
        <v>106</v>
      </c>
      <c r="H271" s="132"/>
      <c r="I271" s="132"/>
    </row>
    <row r="272" spans="1:9">
      <c r="A272" s="123" t="s">
        <v>447</v>
      </c>
      <c r="B272" s="123" t="s">
        <v>44</v>
      </c>
      <c r="C272" s="139">
        <f t="shared" si="30"/>
        <v>39683.67</v>
      </c>
      <c r="D272" s="125" t="str">
        <f t="shared" si="28"/>
        <v>证券投资部</v>
      </c>
      <c r="E272" s="125">
        <f t="shared" si="25"/>
        <v>-39683.67</v>
      </c>
      <c r="F272" s="125" t="str">
        <f t="shared" si="29"/>
        <v>金融衍生品部</v>
      </c>
      <c r="G272" s="125" t="s">
        <v>106</v>
      </c>
      <c r="H272" s="132"/>
      <c r="I272" s="132"/>
    </row>
    <row r="273" spans="1:9">
      <c r="A273" s="123" t="s">
        <v>448</v>
      </c>
      <c r="B273" s="123" t="s">
        <v>44</v>
      </c>
      <c r="C273" s="139">
        <f t="shared" si="30"/>
        <v>16254.64</v>
      </c>
      <c r="D273" s="125" t="str">
        <f t="shared" si="28"/>
        <v>证券投资部</v>
      </c>
      <c r="E273" s="125">
        <f t="shared" si="25"/>
        <v>-16254.64</v>
      </c>
      <c r="F273" s="125" t="str">
        <f t="shared" si="29"/>
        <v>固定收益投资部</v>
      </c>
      <c r="G273" s="125" t="s">
        <v>106</v>
      </c>
      <c r="H273" s="132"/>
      <c r="I273" s="132"/>
    </row>
    <row r="274" spans="1:9">
      <c r="A274" s="123" t="s">
        <v>449</v>
      </c>
      <c r="B274" s="123" t="s">
        <v>44</v>
      </c>
      <c r="C274" s="139">
        <f t="shared" si="30"/>
        <v>-2311.75</v>
      </c>
      <c r="D274" s="125" t="str">
        <f t="shared" si="28"/>
        <v>量化产品投资部</v>
      </c>
      <c r="E274" s="125">
        <f t="shared" si="25"/>
        <v>2311.75</v>
      </c>
      <c r="F274" s="125" t="str">
        <f t="shared" si="29"/>
        <v>资产管理部</v>
      </c>
      <c r="G274" s="125" t="s">
        <v>106</v>
      </c>
      <c r="H274" s="132"/>
      <c r="I274" s="132"/>
    </row>
    <row r="275" spans="1:9">
      <c r="A275" s="123"/>
      <c r="B275" s="123" t="s">
        <v>44</v>
      </c>
      <c r="C275" s="139">
        <f t="shared" si="30"/>
        <v>-101603.25</v>
      </c>
      <c r="D275" s="125" t="str">
        <f t="shared" si="28"/>
        <v>权益产品投资部</v>
      </c>
      <c r="E275" s="125">
        <f t="shared" si="25"/>
        <v>101603.25</v>
      </c>
      <c r="F275" s="125" t="str">
        <f t="shared" si="29"/>
        <v>资产管理部</v>
      </c>
      <c r="G275" s="125" t="s">
        <v>106</v>
      </c>
      <c r="H275" s="132"/>
      <c r="I275" s="132"/>
    </row>
    <row r="276" spans="1:9">
      <c r="A276" s="123"/>
      <c r="B276" s="123" t="s">
        <v>44</v>
      </c>
      <c r="C276" s="139">
        <f t="shared" si="30"/>
        <v>-3764.25</v>
      </c>
      <c r="D276" s="125" t="str">
        <f t="shared" ref="D276:D290" si="31">D116</f>
        <v>固收产品投资部</v>
      </c>
      <c r="E276" s="125">
        <f t="shared" si="25"/>
        <v>3764.25</v>
      </c>
      <c r="F276" s="125" t="str">
        <f t="shared" ref="F276:F290" si="32">F116</f>
        <v>资产管理部</v>
      </c>
      <c r="G276" s="125" t="s">
        <v>106</v>
      </c>
      <c r="H276" s="132"/>
      <c r="I276" s="132"/>
    </row>
    <row r="277" spans="1:9">
      <c r="A277" s="123"/>
      <c r="B277" s="123" t="s">
        <v>44</v>
      </c>
      <c r="C277" s="139">
        <f t="shared" si="30"/>
        <v>-884050</v>
      </c>
      <c r="D277" s="125" t="str">
        <f t="shared" si="31"/>
        <v>做市业务部</v>
      </c>
      <c r="E277" s="125">
        <f t="shared" ref="E277:E288" si="33">-C277</f>
        <v>884050</v>
      </c>
      <c r="F277" s="125" t="str">
        <f t="shared" si="32"/>
        <v>其他</v>
      </c>
      <c r="G277" s="125" t="s">
        <v>106</v>
      </c>
      <c r="H277" s="132"/>
      <c r="I277" s="132"/>
    </row>
    <row r="278" spans="1:9">
      <c r="A278" s="123"/>
      <c r="B278" s="123" t="s">
        <v>44</v>
      </c>
      <c r="C278" s="139">
        <f t="shared" si="30"/>
        <v>-2800</v>
      </c>
      <c r="D278" s="125" t="str">
        <f t="shared" si="31"/>
        <v>投资银行三部</v>
      </c>
      <c r="E278" s="125">
        <f t="shared" si="33"/>
        <v>2800</v>
      </c>
      <c r="F278" s="125" t="str">
        <f t="shared" si="32"/>
        <v>经纪业务部</v>
      </c>
      <c r="G278" s="125" t="s">
        <v>106</v>
      </c>
      <c r="H278" s="132"/>
      <c r="I278" s="132"/>
    </row>
    <row r="279" spans="1:9">
      <c r="A279" s="123" t="s">
        <v>450</v>
      </c>
      <c r="B279" s="123" t="s">
        <v>44</v>
      </c>
      <c r="C279" s="139">
        <f t="shared" si="30"/>
        <v>-825.47</v>
      </c>
      <c r="D279" s="125" t="str">
        <f t="shared" si="31"/>
        <v>投资银行一部</v>
      </c>
      <c r="E279" s="125">
        <f t="shared" si="33"/>
        <v>825.47</v>
      </c>
      <c r="F279" s="125" t="str">
        <f t="shared" si="32"/>
        <v>经纪业务部</v>
      </c>
      <c r="G279" s="125" t="s">
        <v>106</v>
      </c>
      <c r="H279" s="132"/>
      <c r="I279" s="132"/>
    </row>
    <row r="280" spans="1:9">
      <c r="A280" s="123"/>
      <c r="B280" s="123" t="s">
        <v>44</v>
      </c>
      <c r="C280" s="139">
        <f t="shared" si="30"/>
        <v>2150.52</v>
      </c>
      <c r="D280" s="125" t="str">
        <f t="shared" si="31"/>
        <v>投资银行一部</v>
      </c>
      <c r="E280" s="125">
        <f t="shared" si="33"/>
        <v>-2150.52</v>
      </c>
      <c r="F280" s="125" t="str">
        <f t="shared" si="32"/>
        <v>其他</v>
      </c>
      <c r="G280" s="125" t="s">
        <v>106</v>
      </c>
      <c r="H280" s="132"/>
      <c r="I280" s="132"/>
    </row>
    <row r="281" spans="1:9">
      <c r="A281" s="123"/>
      <c r="B281" s="123" t="s">
        <v>44</v>
      </c>
      <c r="C281" s="139">
        <f t="shared" si="30"/>
        <v>-330.19</v>
      </c>
      <c r="D281" s="125" t="str">
        <f t="shared" si="31"/>
        <v>投资银行一部</v>
      </c>
      <c r="E281" s="125">
        <f t="shared" si="33"/>
        <v>330.19</v>
      </c>
      <c r="F281" s="125" t="str">
        <f t="shared" si="32"/>
        <v>固定收益市场部</v>
      </c>
      <c r="G281" s="125" t="s">
        <v>106</v>
      </c>
      <c r="H281" s="132"/>
      <c r="I281" s="132"/>
    </row>
    <row r="282" spans="1:9">
      <c r="A282" s="123"/>
      <c r="B282" s="123" t="s">
        <v>44</v>
      </c>
      <c r="C282" s="139">
        <f t="shared" si="30"/>
        <v>-1981.13</v>
      </c>
      <c r="D282" s="125" t="str">
        <f t="shared" si="31"/>
        <v>投资银行一部</v>
      </c>
      <c r="E282" s="125">
        <f t="shared" si="33"/>
        <v>1981.13</v>
      </c>
      <c r="F282" s="125" t="str">
        <f t="shared" si="32"/>
        <v>其他</v>
      </c>
      <c r="G282" s="125" t="s">
        <v>106</v>
      </c>
      <c r="H282" s="132"/>
      <c r="I282" s="132"/>
    </row>
    <row r="283" spans="1:9">
      <c r="A283" s="123"/>
      <c r="B283" s="123" t="s">
        <v>44</v>
      </c>
      <c r="C283" s="139">
        <f t="shared" si="30"/>
        <v>-169.29</v>
      </c>
      <c r="D283" s="125" t="str">
        <f t="shared" si="31"/>
        <v>量化产品投资部</v>
      </c>
      <c r="E283" s="125">
        <f t="shared" si="33"/>
        <v>169.29</v>
      </c>
      <c r="F283" s="125" t="str">
        <f t="shared" si="32"/>
        <v>经纪业务部</v>
      </c>
      <c r="G283" s="125" t="s">
        <v>106</v>
      </c>
      <c r="H283" s="132"/>
      <c r="I283" s="132"/>
    </row>
    <row r="284" spans="1:9">
      <c r="A284" s="123"/>
      <c r="B284" s="123" t="s">
        <v>44</v>
      </c>
      <c r="C284" s="139">
        <f t="shared" si="30"/>
        <v>-673.85</v>
      </c>
      <c r="D284" s="125" t="str">
        <f t="shared" si="31"/>
        <v>资产管理部</v>
      </c>
      <c r="E284" s="125">
        <f t="shared" si="33"/>
        <v>673.85</v>
      </c>
      <c r="F284" s="125" t="str">
        <f t="shared" si="32"/>
        <v>权益产品投资部</v>
      </c>
      <c r="G284" s="125" t="s">
        <v>106</v>
      </c>
      <c r="H284" s="132"/>
      <c r="I284" s="132"/>
    </row>
    <row r="285" spans="1:9">
      <c r="A285" s="123"/>
      <c r="B285" s="123" t="s">
        <v>44</v>
      </c>
      <c r="C285" s="139">
        <f t="shared" si="30"/>
        <v>-2021.55</v>
      </c>
      <c r="D285" s="125" t="str">
        <f t="shared" si="31"/>
        <v>资产管理部</v>
      </c>
      <c r="E285" s="125">
        <f t="shared" si="33"/>
        <v>2021.55</v>
      </c>
      <c r="F285" s="125" t="str">
        <f t="shared" si="32"/>
        <v>经纪业务部</v>
      </c>
      <c r="G285" s="125" t="s">
        <v>106</v>
      </c>
      <c r="H285" s="132"/>
      <c r="I285" s="132"/>
    </row>
    <row r="286" spans="1:9">
      <c r="A286" s="123"/>
      <c r="B286" s="123" t="s">
        <v>44</v>
      </c>
      <c r="C286" s="139">
        <f t="shared" si="30"/>
        <v>-205.71</v>
      </c>
      <c r="D286" s="125" t="str">
        <f t="shared" si="31"/>
        <v>资产管理部</v>
      </c>
      <c r="E286" s="125">
        <f t="shared" si="33"/>
        <v>205.71</v>
      </c>
      <c r="F286" s="125" t="str">
        <f t="shared" si="32"/>
        <v>权益产品投资部</v>
      </c>
      <c r="G286" s="125" t="s">
        <v>106</v>
      </c>
      <c r="H286" s="132"/>
      <c r="I286" s="132"/>
    </row>
    <row r="287" spans="1:9">
      <c r="A287" s="123"/>
      <c r="B287" s="123" t="s">
        <v>44</v>
      </c>
      <c r="C287" s="139">
        <f t="shared" si="30"/>
        <v>-617.13</v>
      </c>
      <c r="D287" s="125" t="str">
        <f t="shared" si="31"/>
        <v>资产管理部</v>
      </c>
      <c r="E287" s="125">
        <f t="shared" si="33"/>
        <v>617.13</v>
      </c>
      <c r="F287" s="125" t="str">
        <f t="shared" si="32"/>
        <v>经纪业务部</v>
      </c>
      <c r="G287" s="125" t="s">
        <v>106</v>
      </c>
      <c r="H287" s="132"/>
      <c r="I287" s="132"/>
    </row>
    <row r="288" spans="1:9">
      <c r="A288" s="123"/>
      <c r="B288" s="123" t="s">
        <v>44</v>
      </c>
      <c r="C288" s="139">
        <f t="shared" si="30"/>
        <v>-228.84</v>
      </c>
      <c r="D288" s="125" t="str">
        <f t="shared" si="31"/>
        <v>量化产品投资部</v>
      </c>
      <c r="E288" s="125">
        <f t="shared" si="33"/>
        <v>228.84</v>
      </c>
      <c r="F288" s="125" t="str">
        <f t="shared" si="32"/>
        <v>经纪业务部</v>
      </c>
      <c r="G288" s="125" t="s">
        <v>106</v>
      </c>
      <c r="H288" s="132"/>
      <c r="I288" s="132"/>
    </row>
    <row r="289" spans="1:9">
      <c r="A289" s="123"/>
      <c r="B289" s="123" t="s">
        <v>44</v>
      </c>
      <c r="C289" s="139">
        <f t="shared" si="30"/>
        <v>-9457.36</v>
      </c>
      <c r="D289" s="125" t="str">
        <f t="shared" si="31"/>
        <v>证券投资部</v>
      </c>
      <c r="E289" s="125">
        <f t="shared" ref="E289:E290" si="34">-C289</f>
        <v>9457.36</v>
      </c>
      <c r="F289" s="125" t="str">
        <f t="shared" si="32"/>
        <v>其他</v>
      </c>
      <c r="G289" s="125" t="s">
        <v>106</v>
      </c>
      <c r="H289" s="132"/>
      <c r="I289" s="132"/>
    </row>
    <row r="290" spans="1:9">
      <c r="A290" s="123"/>
      <c r="B290" s="123" t="s">
        <v>44</v>
      </c>
      <c r="C290" s="139">
        <f t="shared" si="30"/>
        <v>10024.81</v>
      </c>
      <c r="D290" s="125" t="str">
        <f t="shared" si="31"/>
        <v>证券投资部</v>
      </c>
      <c r="E290" s="125">
        <f t="shared" si="34"/>
        <v>-10024.81</v>
      </c>
      <c r="F290" s="125" t="str">
        <f t="shared" si="32"/>
        <v>其他</v>
      </c>
      <c r="G290" s="125" t="s">
        <v>106</v>
      </c>
      <c r="H290" s="132"/>
      <c r="I290" s="132"/>
    </row>
    <row r="291" spans="1:9">
      <c r="A291" s="123"/>
      <c r="B291" s="177" t="s">
        <v>44</v>
      </c>
      <c r="C291" s="178">
        <f>-288257.5</f>
        <v>-288257.5</v>
      </c>
      <c r="D291" s="179" t="s">
        <v>18</v>
      </c>
      <c r="E291" s="179">
        <f t="shared" ref="E291" si="35">-C291</f>
        <v>288257.5</v>
      </c>
      <c r="F291" s="179" t="str">
        <f>F129</f>
        <v>其他</v>
      </c>
      <c r="G291" s="179" t="s">
        <v>106</v>
      </c>
      <c r="H291" s="180"/>
      <c r="I291" s="132" t="s">
        <v>456</v>
      </c>
    </row>
    <row r="292" spans="1:9">
      <c r="A292" s="123"/>
      <c r="B292" s="123"/>
      <c r="C292" s="139"/>
      <c r="D292" s="125"/>
      <c r="E292" s="125"/>
      <c r="F292" s="125"/>
      <c r="G292" s="125"/>
      <c r="H292" s="132"/>
      <c r="I292" s="132"/>
    </row>
    <row r="293" spans="1:9">
      <c r="A293" s="123"/>
      <c r="B293" s="177"/>
      <c r="C293" s="178"/>
      <c r="D293" s="179"/>
      <c r="E293" s="179"/>
      <c r="F293" s="180"/>
      <c r="G293" s="179"/>
      <c r="H293" s="180"/>
      <c r="I293" s="132"/>
    </row>
    <row r="294" ht="18" customHeight="1" spans="1:9">
      <c r="A294" s="118"/>
      <c r="B294" s="123" t="s">
        <v>44</v>
      </c>
      <c r="C294" s="175">
        <v>3018867.92</v>
      </c>
      <c r="D294" s="175" t="s">
        <v>7</v>
      </c>
      <c r="E294" s="175">
        <v>-3018867.92</v>
      </c>
      <c r="F294" s="176" t="s">
        <v>5</v>
      </c>
      <c r="G294" s="118" t="s">
        <v>105</v>
      </c>
      <c r="H294" s="176" t="s">
        <v>457</v>
      </c>
      <c r="I294" s="176"/>
    </row>
    <row r="295" spans="1:9">
      <c r="A295" s="123" t="s">
        <v>291</v>
      </c>
      <c r="B295" s="123" t="s">
        <v>44</v>
      </c>
      <c r="C295" s="125">
        <v>-514548</v>
      </c>
      <c r="D295" s="125" t="s">
        <v>9</v>
      </c>
      <c r="E295" s="125">
        <f t="shared" ref="E295:E302" si="36">-C295</f>
        <v>514548</v>
      </c>
      <c r="F295" s="125" t="s">
        <v>5</v>
      </c>
      <c r="G295" s="125" t="s">
        <v>104</v>
      </c>
      <c r="H295" s="132" t="s">
        <v>458</v>
      </c>
      <c r="I295" s="132"/>
    </row>
    <row r="296" spans="1:9">
      <c r="A296" s="123" t="s">
        <v>307</v>
      </c>
      <c r="B296" s="123" t="s">
        <v>44</v>
      </c>
      <c r="C296" s="125">
        <v>-69673.04</v>
      </c>
      <c r="D296" s="125" t="s">
        <v>9</v>
      </c>
      <c r="E296" s="125">
        <f t="shared" si="36"/>
        <v>69673.04</v>
      </c>
      <c r="F296" s="125" t="s">
        <v>7</v>
      </c>
      <c r="G296" s="125" t="s">
        <v>115</v>
      </c>
      <c r="H296" s="132" t="s">
        <v>459</v>
      </c>
      <c r="I296" s="125" t="s">
        <v>460</v>
      </c>
    </row>
    <row r="297" spans="1:9">
      <c r="A297" s="123" t="s">
        <v>309</v>
      </c>
      <c r="B297" s="123" t="s">
        <v>44</v>
      </c>
      <c r="C297" s="130">
        <v>53230</v>
      </c>
      <c r="D297" s="125" t="s">
        <v>9</v>
      </c>
      <c r="E297" s="125">
        <f t="shared" si="36"/>
        <v>-53230</v>
      </c>
      <c r="F297" s="125" t="s">
        <v>6</v>
      </c>
      <c r="G297" s="125" t="s">
        <v>110</v>
      </c>
      <c r="H297" s="132" t="s">
        <v>461</v>
      </c>
      <c r="I297" s="132"/>
    </row>
    <row r="298" spans="1:9">
      <c r="A298" s="123" t="s">
        <v>356</v>
      </c>
      <c r="B298" s="123" t="s">
        <v>44</v>
      </c>
      <c r="C298" s="130">
        <v>14212</v>
      </c>
      <c r="D298" s="125" t="s">
        <v>17</v>
      </c>
      <c r="E298" s="125">
        <f t="shared" si="36"/>
        <v>-14212</v>
      </c>
      <c r="F298" s="125" t="s">
        <v>6</v>
      </c>
      <c r="G298" s="125" t="s">
        <v>110</v>
      </c>
      <c r="H298" s="132" t="s">
        <v>462</v>
      </c>
      <c r="I298" s="132"/>
    </row>
    <row r="299" spans="1:9">
      <c r="A299" s="123" t="s">
        <v>336</v>
      </c>
      <c r="B299" s="123" t="s">
        <v>44</v>
      </c>
      <c r="C299" s="130">
        <v>28706</v>
      </c>
      <c r="D299" s="125" t="s">
        <v>19</v>
      </c>
      <c r="E299" s="125">
        <f t="shared" si="36"/>
        <v>-28706</v>
      </c>
      <c r="F299" s="125" t="s">
        <v>6</v>
      </c>
      <c r="G299" s="125" t="s">
        <v>110</v>
      </c>
      <c r="H299" s="132" t="s">
        <v>462</v>
      </c>
      <c r="I299" s="132"/>
    </row>
    <row r="300" spans="1:9">
      <c r="A300" s="123" t="s">
        <v>338</v>
      </c>
      <c r="B300" s="123" t="s">
        <v>44</v>
      </c>
      <c r="C300" s="130">
        <v>138038</v>
      </c>
      <c r="D300" s="125" t="s">
        <v>24</v>
      </c>
      <c r="E300" s="125">
        <f t="shared" si="36"/>
        <v>-138038</v>
      </c>
      <c r="F300" s="125" t="s">
        <v>6</v>
      </c>
      <c r="G300" s="125" t="s">
        <v>110</v>
      </c>
      <c r="H300" s="132" t="s">
        <v>461</v>
      </c>
      <c r="I300" s="132"/>
    </row>
    <row r="301" spans="1:9">
      <c r="A301" s="123" t="s">
        <v>340</v>
      </c>
      <c r="B301" s="181" t="s">
        <v>44</v>
      </c>
      <c r="C301" s="130">
        <v>154360</v>
      </c>
      <c r="D301" s="182" t="s">
        <v>22</v>
      </c>
      <c r="E301" s="125">
        <f t="shared" si="36"/>
        <v>-154360</v>
      </c>
      <c r="F301" s="125" t="s">
        <v>6</v>
      </c>
      <c r="G301" s="125" t="s">
        <v>110</v>
      </c>
      <c r="H301" s="132" t="s">
        <v>461</v>
      </c>
      <c r="I301" s="188"/>
    </row>
    <row r="302" spans="1:9">
      <c r="A302" s="123" t="s">
        <v>342</v>
      </c>
      <c r="B302" s="181" t="s">
        <v>44</v>
      </c>
      <c r="C302" s="130">
        <v>931112</v>
      </c>
      <c r="D302" s="182" t="s">
        <v>23</v>
      </c>
      <c r="E302" s="125">
        <f t="shared" si="36"/>
        <v>-931112</v>
      </c>
      <c r="F302" s="125" t="s">
        <v>6</v>
      </c>
      <c r="G302" s="125" t="s">
        <v>110</v>
      </c>
      <c r="H302" s="132" t="s">
        <v>461</v>
      </c>
      <c r="I302" s="188"/>
    </row>
    <row r="303" spans="1:9">
      <c r="A303" s="123" t="s">
        <v>344</v>
      </c>
      <c r="B303" s="123" t="s">
        <v>44</v>
      </c>
      <c r="C303" s="130">
        <v>2328</v>
      </c>
      <c r="D303" s="125" t="s">
        <v>18</v>
      </c>
      <c r="E303" s="125">
        <f t="shared" ref="E303:E314" si="37">-C303</f>
        <v>-2328</v>
      </c>
      <c r="F303" s="125" t="s">
        <v>6</v>
      </c>
      <c r="G303" s="125" t="s">
        <v>110</v>
      </c>
      <c r="H303" s="132" t="s">
        <v>461</v>
      </c>
      <c r="I303" s="132"/>
    </row>
    <row r="304" spans="1:9">
      <c r="A304" s="123" t="s">
        <v>348</v>
      </c>
      <c r="B304" s="123" t="s">
        <v>44</v>
      </c>
      <c r="C304" s="130">
        <v>2097.5</v>
      </c>
      <c r="D304" s="125" t="s">
        <v>14</v>
      </c>
      <c r="E304" s="125">
        <f t="shared" si="37"/>
        <v>-2097.5</v>
      </c>
      <c r="F304" s="125" t="s">
        <v>6</v>
      </c>
      <c r="G304" s="125" t="s">
        <v>110</v>
      </c>
      <c r="H304" s="125" t="s">
        <v>461</v>
      </c>
      <c r="I304" s="132"/>
    </row>
    <row r="305" spans="1:9">
      <c r="A305" s="123" t="s">
        <v>351</v>
      </c>
      <c r="B305" s="123" t="s">
        <v>44</v>
      </c>
      <c r="C305" s="130">
        <v>7872.5</v>
      </c>
      <c r="D305" s="125" t="s">
        <v>15</v>
      </c>
      <c r="E305" s="125">
        <f t="shared" si="37"/>
        <v>-7872.5</v>
      </c>
      <c r="F305" s="125" t="s">
        <v>6</v>
      </c>
      <c r="G305" s="125" t="s">
        <v>110</v>
      </c>
      <c r="H305" s="125" t="s">
        <v>461</v>
      </c>
      <c r="I305" s="132"/>
    </row>
    <row r="306" spans="1:9">
      <c r="A306" s="123" t="s">
        <v>354</v>
      </c>
      <c r="B306" s="123" t="s">
        <v>44</v>
      </c>
      <c r="C306" s="130">
        <v>2097.5</v>
      </c>
      <c r="D306" s="125" t="s">
        <v>16</v>
      </c>
      <c r="E306" s="125">
        <f t="shared" si="37"/>
        <v>-2097.5</v>
      </c>
      <c r="F306" s="125" t="s">
        <v>6</v>
      </c>
      <c r="G306" s="125" t="s">
        <v>110</v>
      </c>
      <c r="H306" s="125" t="s">
        <v>461</v>
      </c>
      <c r="I306" s="132"/>
    </row>
    <row r="307" spans="1:9">
      <c r="A307" s="123" t="s">
        <v>437</v>
      </c>
      <c r="B307" s="123" t="s">
        <v>44</v>
      </c>
      <c r="C307" s="183">
        <v>2097.5</v>
      </c>
      <c r="D307" s="125" t="s">
        <v>11</v>
      </c>
      <c r="E307" s="125">
        <f t="shared" si="37"/>
        <v>-2097.5</v>
      </c>
      <c r="F307" s="125" t="s">
        <v>6</v>
      </c>
      <c r="G307" s="125" t="s">
        <v>110</v>
      </c>
      <c r="H307" s="125" t="s">
        <v>461</v>
      </c>
      <c r="I307" s="132"/>
    </row>
    <row r="308" spans="1:9">
      <c r="A308" s="123" t="s">
        <v>424</v>
      </c>
      <c r="B308" s="123" t="s">
        <v>44</v>
      </c>
      <c r="C308" s="125">
        <v>-815533.98</v>
      </c>
      <c r="D308" s="125" t="s">
        <v>12</v>
      </c>
      <c r="E308" s="125">
        <f t="shared" si="37"/>
        <v>815533.98</v>
      </c>
      <c r="F308" s="125" t="s">
        <v>5</v>
      </c>
      <c r="G308" s="125" t="s">
        <v>115</v>
      </c>
      <c r="H308" s="132" t="s">
        <v>463</v>
      </c>
      <c r="I308" s="132" t="s">
        <v>464</v>
      </c>
    </row>
    <row r="309" spans="1:9">
      <c r="A309" s="123" t="s">
        <v>358</v>
      </c>
      <c r="B309" s="123" t="s">
        <v>44</v>
      </c>
      <c r="C309" s="125">
        <v>158300</v>
      </c>
      <c r="D309" s="125" t="s">
        <v>12</v>
      </c>
      <c r="E309" s="125">
        <f t="shared" si="37"/>
        <v>-158300</v>
      </c>
      <c r="F309" s="125" t="s">
        <v>5</v>
      </c>
      <c r="G309" s="125" t="s">
        <v>104</v>
      </c>
      <c r="H309" s="125" t="s">
        <v>465</v>
      </c>
      <c r="I309" s="132"/>
    </row>
    <row r="310" spans="1:9">
      <c r="A310" s="123" t="s">
        <v>360</v>
      </c>
      <c r="B310" s="123" t="s">
        <v>44</v>
      </c>
      <c r="C310" s="125">
        <v>244500</v>
      </c>
      <c r="D310" s="125" t="s">
        <v>12</v>
      </c>
      <c r="E310" s="125">
        <f t="shared" si="37"/>
        <v>-244500</v>
      </c>
      <c r="F310" s="125" t="s">
        <v>5</v>
      </c>
      <c r="G310" s="125" t="s">
        <v>104</v>
      </c>
      <c r="H310" s="125" t="s">
        <v>466</v>
      </c>
      <c r="I310" s="188"/>
    </row>
    <row r="311" spans="1:9">
      <c r="A311" s="123" t="s">
        <v>362</v>
      </c>
      <c r="B311" s="123" t="s">
        <v>44</v>
      </c>
      <c r="C311" s="125">
        <f>43500+150000</f>
        <v>193500</v>
      </c>
      <c r="D311" s="125" t="s">
        <v>12</v>
      </c>
      <c r="E311" s="125">
        <f t="shared" si="37"/>
        <v>-193500</v>
      </c>
      <c r="F311" s="125" t="s">
        <v>5</v>
      </c>
      <c r="G311" s="125" t="s">
        <v>104</v>
      </c>
      <c r="H311" s="125" t="s">
        <v>467</v>
      </c>
      <c r="I311" s="188"/>
    </row>
    <row r="312" spans="1:9">
      <c r="A312" s="123" t="s">
        <v>439</v>
      </c>
      <c r="B312" s="133" t="s">
        <v>44</v>
      </c>
      <c r="C312" s="125">
        <v>31875</v>
      </c>
      <c r="D312" s="125" t="s">
        <v>12</v>
      </c>
      <c r="E312" s="125">
        <f t="shared" si="37"/>
        <v>-31875</v>
      </c>
      <c r="F312" s="125" t="s">
        <v>5</v>
      </c>
      <c r="G312" s="134" t="s">
        <v>104</v>
      </c>
      <c r="H312" s="134" t="s">
        <v>468</v>
      </c>
      <c r="I312" s="189"/>
    </row>
    <row r="313" spans="1:9">
      <c r="A313" s="123" t="s">
        <v>363</v>
      </c>
      <c r="B313" s="123" t="s">
        <v>44</v>
      </c>
      <c r="C313" s="125">
        <v>-5182</v>
      </c>
      <c r="D313" s="125" t="s">
        <v>12</v>
      </c>
      <c r="E313" s="125">
        <f t="shared" si="37"/>
        <v>5182</v>
      </c>
      <c r="F313" s="125" t="s">
        <v>5</v>
      </c>
      <c r="G313" s="125" t="s">
        <v>110</v>
      </c>
      <c r="H313" s="125" t="s">
        <v>469</v>
      </c>
      <c r="I313" s="188"/>
    </row>
    <row r="314" s="101" customFormat="1" spans="1:22">
      <c r="A314" s="184" t="s">
        <v>365</v>
      </c>
      <c r="B314" s="185" t="s">
        <v>44</v>
      </c>
      <c r="C314" s="186">
        <v>-606</v>
      </c>
      <c r="D314" s="186" t="s">
        <v>12</v>
      </c>
      <c r="E314" s="186">
        <f t="shared" si="37"/>
        <v>606</v>
      </c>
      <c r="F314" s="186" t="s">
        <v>5</v>
      </c>
      <c r="G314" s="186" t="s">
        <v>105</v>
      </c>
      <c r="H314" s="186" t="s">
        <v>469</v>
      </c>
      <c r="I314" s="190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</row>
    <row r="315" spans="1:9">
      <c r="A315" s="123" t="s">
        <v>365</v>
      </c>
      <c r="B315" s="181" t="s">
        <v>44</v>
      </c>
      <c r="C315" s="125">
        <v>-50672</v>
      </c>
      <c r="D315" s="125" t="s">
        <v>12</v>
      </c>
      <c r="E315" s="125">
        <f t="shared" ref="E315:E321" si="38">-C315</f>
        <v>50672</v>
      </c>
      <c r="F315" s="125" t="s">
        <v>5</v>
      </c>
      <c r="G315" s="125" t="s">
        <v>111</v>
      </c>
      <c r="H315" s="125" t="s">
        <v>469</v>
      </c>
      <c r="I315" s="188"/>
    </row>
    <row r="316" spans="1:9">
      <c r="A316" s="123" t="s">
        <v>367</v>
      </c>
      <c r="B316" s="181" t="s">
        <v>44</v>
      </c>
      <c r="C316" s="125">
        <f>83478.6+83926.92</f>
        <v>167405.52</v>
      </c>
      <c r="D316" s="182" t="s">
        <v>5</v>
      </c>
      <c r="E316" s="125">
        <f t="shared" si="38"/>
        <v>-167405.52</v>
      </c>
      <c r="F316" s="182" t="s">
        <v>7</v>
      </c>
      <c r="G316" s="125" t="s">
        <v>136</v>
      </c>
      <c r="H316" s="132" t="s">
        <v>470</v>
      </c>
      <c r="I316" s="188"/>
    </row>
    <row r="317" spans="1:9">
      <c r="A317" s="123" t="s">
        <v>369</v>
      </c>
      <c r="B317" s="181" t="s">
        <v>44</v>
      </c>
      <c r="C317" s="125">
        <v>-274503.2</v>
      </c>
      <c r="D317" s="182" t="s">
        <v>20</v>
      </c>
      <c r="E317" s="125">
        <f t="shared" si="38"/>
        <v>274503.2</v>
      </c>
      <c r="F317" s="182" t="s">
        <v>5</v>
      </c>
      <c r="G317" s="125" t="s">
        <v>135</v>
      </c>
      <c r="H317" s="132" t="s">
        <v>471</v>
      </c>
      <c r="I317" s="188"/>
    </row>
    <row r="318" spans="1:9">
      <c r="A318" s="123" t="s">
        <v>371</v>
      </c>
      <c r="B318" s="181" t="s">
        <v>44</v>
      </c>
      <c r="C318" s="125">
        <v>-935408.33</v>
      </c>
      <c r="D318" s="182" t="s">
        <v>20</v>
      </c>
      <c r="E318" s="125">
        <f t="shared" si="38"/>
        <v>935408.33</v>
      </c>
      <c r="F318" s="182" t="s">
        <v>7</v>
      </c>
      <c r="G318" s="125" t="s">
        <v>135</v>
      </c>
      <c r="H318" s="132" t="s">
        <v>472</v>
      </c>
      <c r="I318" s="188"/>
    </row>
    <row r="319" spans="1:9">
      <c r="A319" s="123" t="s">
        <v>324</v>
      </c>
      <c r="B319" s="123" t="s">
        <v>44</v>
      </c>
      <c r="C319" s="125">
        <v>94399.61</v>
      </c>
      <c r="D319" s="125" t="s">
        <v>11</v>
      </c>
      <c r="E319" s="125">
        <f t="shared" si="38"/>
        <v>-94399.61</v>
      </c>
      <c r="F319" s="125" t="s">
        <v>5</v>
      </c>
      <c r="G319" s="125" t="s">
        <v>104</v>
      </c>
      <c r="H319" s="125" t="s">
        <v>473</v>
      </c>
      <c r="I319" s="132"/>
    </row>
    <row r="320" spans="1:9">
      <c r="A320" s="123" t="s">
        <v>326</v>
      </c>
      <c r="B320" s="123" t="s">
        <v>44</v>
      </c>
      <c r="C320" s="187">
        <v>1268177.45</v>
      </c>
      <c r="D320" s="125" t="s">
        <v>11</v>
      </c>
      <c r="E320" s="125">
        <f t="shared" si="38"/>
        <v>-1268177.45</v>
      </c>
      <c r="F320" s="125" t="s">
        <v>5</v>
      </c>
      <c r="G320" s="125" t="s">
        <v>104</v>
      </c>
      <c r="H320" s="125" t="s">
        <v>474</v>
      </c>
      <c r="I320" s="132"/>
    </row>
    <row r="321" spans="1:9">
      <c r="A321" s="123" t="s">
        <v>328</v>
      </c>
      <c r="B321" s="123" t="s">
        <v>44</v>
      </c>
      <c r="C321" s="125">
        <v>294460.56</v>
      </c>
      <c r="D321" s="125" t="s">
        <v>11</v>
      </c>
      <c r="E321" s="125">
        <f t="shared" si="38"/>
        <v>-294460.56</v>
      </c>
      <c r="F321" s="125" t="s">
        <v>5</v>
      </c>
      <c r="G321" s="125" t="s">
        <v>104</v>
      </c>
      <c r="H321" s="125" t="s">
        <v>475</v>
      </c>
      <c r="I321" s="132"/>
    </row>
    <row r="322" spans="1:9">
      <c r="A322" s="123" t="s">
        <v>383</v>
      </c>
      <c r="B322" s="123" t="s">
        <v>44</v>
      </c>
      <c r="C322" s="130">
        <v>24700</v>
      </c>
      <c r="D322" s="125" t="s">
        <v>10</v>
      </c>
      <c r="E322" s="125">
        <f t="shared" ref="E322:E330" si="39">-C322</f>
        <v>-24700</v>
      </c>
      <c r="F322" s="125" t="s">
        <v>6</v>
      </c>
      <c r="G322" s="131" t="s">
        <v>110</v>
      </c>
      <c r="H322" s="132" t="s">
        <v>476</v>
      </c>
      <c r="I322" s="188"/>
    </row>
    <row r="323" spans="1:9">
      <c r="A323" s="123" t="s">
        <v>441</v>
      </c>
      <c r="B323" s="181" t="s">
        <v>44</v>
      </c>
      <c r="C323" s="125">
        <v>-109197.48</v>
      </c>
      <c r="D323" s="182" t="s">
        <v>24</v>
      </c>
      <c r="E323" s="125">
        <f t="shared" si="39"/>
        <v>109197.48</v>
      </c>
      <c r="F323" s="125" t="s">
        <v>28</v>
      </c>
      <c r="G323" s="125" t="s">
        <v>111</v>
      </c>
      <c r="H323" s="132" t="s">
        <v>477</v>
      </c>
      <c r="I323" s="188"/>
    </row>
    <row r="324" spans="1:9">
      <c r="A324" s="123" t="s">
        <v>388</v>
      </c>
      <c r="B324" s="181" t="s">
        <v>44</v>
      </c>
      <c r="C324" s="182">
        <v>-46745.67</v>
      </c>
      <c r="D324" s="182" t="s">
        <v>24</v>
      </c>
      <c r="E324" s="125">
        <f t="shared" si="39"/>
        <v>46745.67</v>
      </c>
      <c r="F324" s="125" t="s">
        <v>28</v>
      </c>
      <c r="G324" s="125" t="s">
        <v>110</v>
      </c>
      <c r="H324" s="132" t="s">
        <v>477</v>
      </c>
      <c r="I324" s="188"/>
    </row>
    <row r="325" spans="1:9">
      <c r="A325" s="123" t="s">
        <v>390</v>
      </c>
      <c r="B325" s="181" t="s">
        <v>44</v>
      </c>
      <c r="C325" s="125">
        <v>-3584.9</v>
      </c>
      <c r="D325" s="182" t="s">
        <v>24</v>
      </c>
      <c r="E325" s="125">
        <f t="shared" si="39"/>
        <v>3584.9</v>
      </c>
      <c r="F325" s="125" t="s">
        <v>28</v>
      </c>
      <c r="G325" s="125" t="s">
        <v>95</v>
      </c>
      <c r="H325" s="132" t="s">
        <v>477</v>
      </c>
      <c r="I325" s="188"/>
    </row>
    <row r="326" ht="20.25" customHeight="1" spans="1:9">
      <c r="A326" s="123" t="s">
        <v>332</v>
      </c>
      <c r="B326" s="123" t="s">
        <v>44</v>
      </c>
      <c r="C326" s="125">
        <v>-8789056.62</v>
      </c>
      <c r="D326" s="125" t="s">
        <v>7</v>
      </c>
      <c r="E326" s="125">
        <f t="shared" si="39"/>
        <v>8789056.62</v>
      </c>
      <c r="F326" s="125" t="s">
        <v>5</v>
      </c>
      <c r="G326" s="131" t="s">
        <v>105</v>
      </c>
      <c r="H326" s="128" t="s">
        <v>478</v>
      </c>
      <c r="I326" s="132"/>
    </row>
    <row r="327" spans="1:9">
      <c r="A327" s="123" t="s">
        <v>334</v>
      </c>
      <c r="B327" s="123" t="s">
        <v>44</v>
      </c>
      <c r="C327" s="125">
        <v>25615.4</v>
      </c>
      <c r="D327" s="125" t="s">
        <v>7</v>
      </c>
      <c r="E327" s="125">
        <f t="shared" si="39"/>
        <v>-25615.4</v>
      </c>
      <c r="F327" s="125" t="s">
        <v>6</v>
      </c>
      <c r="G327" s="131" t="s">
        <v>136</v>
      </c>
      <c r="H327" s="132" t="s">
        <v>479</v>
      </c>
      <c r="I327" s="132"/>
    </row>
    <row r="328" spans="1:9">
      <c r="A328" s="123" t="s">
        <v>322</v>
      </c>
      <c r="B328" s="123" t="s">
        <v>44</v>
      </c>
      <c r="C328" s="192">
        <v>10000000</v>
      </c>
      <c r="D328" s="125" t="s">
        <v>7</v>
      </c>
      <c r="E328" s="125">
        <f t="shared" si="39"/>
        <v>-10000000</v>
      </c>
      <c r="F328" s="125" t="s">
        <v>5</v>
      </c>
      <c r="G328" s="125" t="s">
        <v>136</v>
      </c>
      <c r="H328" s="125" t="s">
        <v>480</v>
      </c>
      <c r="I328" s="132"/>
    </row>
    <row r="329" spans="1:10">
      <c r="A329" s="123" t="s">
        <v>396</v>
      </c>
      <c r="B329" s="123" t="s">
        <v>44</v>
      </c>
      <c r="C329" s="125">
        <v>-821800</v>
      </c>
      <c r="D329" s="125" t="s">
        <v>7</v>
      </c>
      <c r="E329" s="125">
        <f t="shared" si="39"/>
        <v>821800</v>
      </c>
      <c r="F329" s="125" t="s">
        <v>6</v>
      </c>
      <c r="G329" s="125" t="s">
        <v>110</v>
      </c>
      <c r="H329" s="132" t="s">
        <v>476</v>
      </c>
      <c r="I329" s="132"/>
      <c r="J329" s="125">
        <f>E335+E336</f>
        <v>18795035.69</v>
      </c>
    </row>
    <row r="330" spans="1:9">
      <c r="A330" s="123" t="s">
        <v>442</v>
      </c>
      <c r="B330" s="123" t="s">
        <v>44</v>
      </c>
      <c r="C330" s="125">
        <v>279430</v>
      </c>
      <c r="D330" s="125" t="s">
        <v>7</v>
      </c>
      <c r="E330" s="125">
        <f t="shared" si="39"/>
        <v>-279430</v>
      </c>
      <c r="F330" s="125" t="s">
        <v>6</v>
      </c>
      <c r="G330" s="125" t="s">
        <v>110</v>
      </c>
      <c r="H330" s="125" t="s">
        <v>481</v>
      </c>
      <c r="I330" s="132">
        <f>[14]考核调整事项表!$C$138-C330</f>
        <v>-189396</v>
      </c>
    </row>
    <row r="331" spans="1:9">
      <c r="A331" s="123" t="s">
        <v>446</v>
      </c>
      <c r="B331" s="123" t="s">
        <v>44</v>
      </c>
      <c r="C331" s="125">
        <v>10539.48</v>
      </c>
      <c r="D331" s="125" t="s">
        <v>7</v>
      </c>
      <c r="E331" s="125">
        <f t="shared" ref="E331:E358" si="40">-C331</f>
        <v>-10539.48</v>
      </c>
      <c r="F331" s="125" t="s">
        <v>6</v>
      </c>
      <c r="G331" s="125" t="s">
        <v>110</v>
      </c>
      <c r="H331" s="125" t="s">
        <v>482</v>
      </c>
      <c r="I331" s="188"/>
    </row>
    <row r="332" spans="1:9">
      <c r="A332" s="123" t="s">
        <v>447</v>
      </c>
      <c r="B332" s="123" t="s">
        <v>44</v>
      </c>
      <c r="C332" s="125">
        <v>54994</v>
      </c>
      <c r="D332" s="125" t="s">
        <v>7</v>
      </c>
      <c r="E332" s="125">
        <f t="shared" si="40"/>
        <v>-54994</v>
      </c>
      <c r="F332" s="125" t="s">
        <v>22</v>
      </c>
      <c r="G332" s="125" t="s">
        <v>105</v>
      </c>
      <c r="H332" s="125" t="s">
        <v>483</v>
      </c>
      <c r="I332" s="188"/>
    </row>
    <row r="333" spans="1:9">
      <c r="A333" s="123" t="s">
        <v>448</v>
      </c>
      <c r="B333" s="123" t="s">
        <v>44</v>
      </c>
      <c r="C333" s="125">
        <v>-3435530.48</v>
      </c>
      <c r="D333" s="125" t="s">
        <v>7</v>
      </c>
      <c r="E333" s="125">
        <f t="shared" si="40"/>
        <v>3435530.48</v>
      </c>
      <c r="F333" s="125" t="s">
        <v>6</v>
      </c>
      <c r="G333" s="125" t="s">
        <v>92</v>
      </c>
      <c r="H333" s="132" t="s">
        <v>484</v>
      </c>
      <c r="I333" s="194"/>
    </row>
    <row r="334" spans="1:9">
      <c r="A334" s="123" t="s">
        <v>449</v>
      </c>
      <c r="B334" s="123" t="s">
        <v>44</v>
      </c>
      <c r="C334" s="193">
        <v>282380</v>
      </c>
      <c r="D334" s="193" t="s">
        <v>12</v>
      </c>
      <c r="E334" s="193">
        <f t="shared" si="40"/>
        <v>-282380</v>
      </c>
      <c r="F334" s="194" t="s">
        <v>5</v>
      </c>
      <c r="G334" s="193" t="s">
        <v>104</v>
      </c>
      <c r="H334" s="125" t="s">
        <v>485</v>
      </c>
      <c r="I334" s="194"/>
    </row>
    <row r="335" spans="1:9">
      <c r="A335" s="195"/>
      <c r="B335" s="123" t="s">
        <v>44</v>
      </c>
      <c r="C335" s="182">
        <v>-17041771.36</v>
      </c>
      <c r="D335" s="125" t="s">
        <v>23</v>
      </c>
      <c r="E335" s="125">
        <f t="shared" si="40"/>
        <v>17041771.36</v>
      </c>
      <c r="F335" s="125" t="s">
        <v>5</v>
      </c>
      <c r="G335" s="125" t="s">
        <v>104</v>
      </c>
      <c r="H335" s="132" t="s">
        <v>486</v>
      </c>
      <c r="I335" s="194"/>
    </row>
    <row r="336" spans="1:9">
      <c r="A336" s="195"/>
      <c r="B336" s="123" t="s">
        <v>44</v>
      </c>
      <c r="C336" s="182">
        <v>-1753264.33</v>
      </c>
      <c r="D336" s="125" t="s">
        <v>24</v>
      </c>
      <c r="E336" s="125">
        <f t="shared" si="40"/>
        <v>1753264.33</v>
      </c>
      <c r="F336" s="125" t="s">
        <v>5</v>
      </c>
      <c r="G336" s="125" t="s">
        <v>104</v>
      </c>
      <c r="H336" s="132" t="s">
        <v>486</v>
      </c>
      <c r="I336" s="194"/>
    </row>
    <row r="337" spans="1:9">
      <c r="A337" s="195"/>
      <c r="B337" s="123" t="s">
        <v>44</v>
      </c>
      <c r="C337" s="196">
        <v>8400</v>
      </c>
      <c r="D337" s="125" t="s">
        <v>28</v>
      </c>
      <c r="E337" s="125">
        <f t="shared" si="40"/>
        <v>-8400</v>
      </c>
      <c r="F337" s="125" t="s">
        <v>6</v>
      </c>
      <c r="G337" s="125" t="s">
        <v>110</v>
      </c>
      <c r="H337" s="125" t="s">
        <v>487</v>
      </c>
      <c r="I337" s="194"/>
    </row>
    <row r="338" spans="1:9">
      <c r="A338" s="195"/>
      <c r="B338" s="123" t="s">
        <v>44</v>
      </c>
      <c r="C338" s="182">
        <v>1493793.1</v>
      </c>
      <c r="D338" s="125" t="s">
        <v>29</v>
      </c>
      <c r="E338" s="125">
        <f t="shared" si="40"/>
        <v>-1493793.1</v>
      </c>
      <c r="F338" s="125" t="s">
        <v>24</v>
      </c>
      <c r="G338" s="125" t="s">
        <v>92</v>
      </c>
      <c r="H338" s="132" t="s">
        <v>488</v>
      </c>
      <c r="I338" s="194"/>
    </row>
    <row r="339" spans="1:9">
      <c r="A339" s="195"/>
      <c r="B339" s="123" t="s">
        <v>44</v>
      </c>
      <c r="C339" s="125">
        <f>63750/4</f>
        <v>15937.5</v>
      </c>
      <c r="D339" s="125" t="s">
        <v>12</v>
      </c>
      <c r="E339" s="125">
        <f t="shared" si="40"/>
        <v>-15937.5</v>
      </c>
      <c r="F339" s="125" t="s">
        <v>9</v>
      </c>
      <c r="G339" s="125" t="s">
        <v>104</v>
      </c>
      <c r="H339" s="105" t="s">
        <v>489</v>
      </c>
      <c r="I339" s="194"/>
    </row>
    <row r="340" spans="1:9">
      <c r="A340" s="195"/>
      <c r="B340" s="123" t="s">
        <v>44</v>
      </c>
      <c r="C340" s="125">
        <f>55277.75+71066.65</f>
        <v>126344.4</v>
      </c>
      <c r="D340" s="125" t="s">
        <v>11</v>
      </c>
      <c r="E340" s="125">
        <f t="shared" si="40"/>
        <v>-126344.4</v>
      </c>
      <c r="F340" s="125" t="s">
        <v>9</v>
      </c>
      <c r="G340" s="131" t="s">
        <v>104</v>
      </c>
      <c r="H340" s="125" t="s">
        <v>490</v>
      </c>
      <c r="I340" s="194"/>
    </row>
    <row r="341" s="97" customFormat="1" customHeight="1" spans="1:22">
      <c r="A341" s="123" t="s">
        <v>312</v>
      </c>
      <c r="B341" s="123" t="s">
        <v>44</v>
      </c>
      <c r="C341" s="125">
        <v>613649</v>
      </c>
      <c r="D341" s="125" t="s">
        <v>7</v>
      </c>
      <c r="E341" s="125">
        <f t="shared" si="40"/>
        <v>-613649</v>
      </c>
      <c r="F341" s="125" t="s">
        <v>5</v>
      </c>
      <c r="G341" s="125" t="s">
        <v>138</v>
      </c>
      <c r="H341" s="125" t="s">
        <v>491</v>
      </c>
      <c r="I341" s="132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</row>
    <row r="342" s="97" customFormat="1" customHeight="1" spans="1:22">
      <c r="A342" s="123" t="s">
        <v>314</v>
      </c>
      <c r="B342" s="123" t="s">
        <v>44</v>
      </c>
      <c r="C342" s="125">
        <v>262135.93</v>
      </c>
      <c r="D342" s="125" t="s">
        <v>7</v>
      </c>
      <c r="E342" s="125">
        <f t="shared" si="40"/>
        <v>-262135.93</v>
      </c>
      <c r="F342" s="125" t="s">
        <v>9</v>
      </c>
      <c r="G342" s="125" t="s">
        <v>115</v>
      </c>
      <c r="H342" s="125" t="s">
        <v>492</v>
      </c>
      <c r="I342" s="132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</row>
    <row r="343" s="97" customFormat="1" spans="1:22">
      <c r="A343" s="123" t="s">
        <v>332</v>
      </c>
      <c r="B343" s="123" t="s">
        <v>44</v>
      </c>
      <c r="C343" s="182">
        <v>-91705.35</v>
      </c>
      <c r="D343" s="125" t="s">
        <v>24</v>
      </c>
      <c r="E343" s="125">
        <f t="shared" si="40"/>
        <v>91705.35</v>
      </c>
      <c r="F343" s="125" t="s">
        <v>28</v>
      </c>
      <c r="G343" s="125" t="s">
        <v>96</v>
      </c>
      <c r="H343" s="132" t="s">
        <v>493</v>
      </c>
      <c r="I343" s="18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</row>
    <row r="344" s="97" customFormat="1" spans="1:22">
      <c r="A344" s="123" t="s">
        <v>334</v>
      </c>
      <c r="B344" s="123" t="s">
        <v>44</v>
      </c>
      <c r="C344" s="182">
        <v>-57860.2</v>
      </c>
      <c r="D344" s="125" t="s">
        <v>24</v>
      </c>
      <c r="E344" s="125">
        <f t="shared" si="40"/>
        <v>57860.2</v>
      </c>
      <c r="F344" s="125" t="s">
        <v>28</v>
      </c>
      <c r="G344" s="125" t="s">
        <v>96</v>
      </c>
      <c r="H344" s="132" t="s">
        <v>494</v>
      </c>
      <c r="I344" s="18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</row>
    <row r="345" s="97" customFormat="1" spans="1:22">
      <c r="A345" s="123" t="s">
        <v>356</v>
      </c>
      <c r="B345" s="123" t="s">
        <v>44</v>
      </c>
      <c r="C345" s="182">
        <v>-583561.56</v>
      </c>
      <c r="D345" s="125" t="s">
        <v>24</v>
      </c>
      <c r="E345" s="125">
        <f t="shared" si="40"/>
        <v>583561.56</v>
      </c>
      <c r="F345" s="125" t="s">
        <v>28</v>
      </c>
      <c r="G345" s="125" t="s">
        <v>92</v>
      </c>
      <c r="H345" s="132" t="s">
        <v>495</v>
      </c>
      <c r="I345" s="18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</row>
    <row r="346" s="97" customFormat="1" spans="1:9">
      <c r="A346" s="123" t="s">
        <v>336</v>
      </c>
      <c r="B346" s="123" t="s">
        <v>44</v>
      </c>
      <c r="C346" s="182">
        <v>-92556.04</v>
      </c>
      <c r="D346" s="125" t="s">
        <v>29</v>
      </c>
      <c r="E346" s="125">
        <f t="shared" si="40"/>
        <v>92556.04</v>
      </c>
      <c r="F346" s="125" t="s">
        <v>28</v>
      </c>
      <c r="G346" s="125" t="s">
        <v>92</v>
      </c>
      <c r="H346" s="132" t="s">
        <v>496</v>
      </c>
      <c r="I346" s="194"/>
    </row>
    <row r="347" s="97" customFormat="1" spans="1:9">
      <c r="A347" s="123" t="s">
        <v>338</v>
      </c>
      <c r="B347" s="123" t="s">
        <v>44</v>
      </c>
      <c r="C347" s="182">
        <v>588261.377362426</v>
      </c>
      <c r="D347" s="125" t="s">
        <v>23</v>
      </c>
      <c r="E347" s="125">
        <f t="shared" si="40"/>
        <v>-588261.377362426</v>
      </c>
      <c r="F347" s="125" t="s">
        <v>6</v>
      </c>
      <c r="G347" s="125" t="s">
        <v>137</v>
      </c>
      <c r="H347" s="132" t="s">
        <v>497</v>
      </c>
      <c r="I347" s="194"/>
    </row>
    <row r="348" s="97" customFormat="1" spans="1:9">
      <c r="A348" s="123" t="s">
        <v>340</v>
      </c>
      <c r="B348" s="123" t="s">
        <v>44</v>
      </c>
      <c r="C348" s="182">
        <v>361734.568944537</v>
      </c>
      <c r="D348" s="125" t="s">
        <v>24</v>
      </c>
      <c r="E348" s="125">
        <f t="shared" si="40"/>
        <v>-361734.568944537</v>
      </c>
      <c r="F348" s="125" t="s">
        <v>6</v>
      </c>
      <c r="G348" s="125" t="s">
        <v>137</v>
      </c>
      <c r="H348" s="132" t="s">
        <v>497</v>
      </c>
      <c r="I348" s="194"/>
    </row>
    <row r="349" s="97" customFormat="1" spans="1:9">
      <c r="A349" s="123" t="s">
        <v>342</v>
      </c>
      <c r="B349" s="123" t="s">
        <v>44</v>
      </c>
      <c r="C349" s="182">
        <v>495382.995587211</v>
      </c>
      <c r="D349" s="125" t="s">
        <v>22</v>
      </c>
      <c r="E349" s="125">
        <f t="shared" si="40"/>
        <v>-495382.995587211</v>
      </c>
      <c r="F349" s="125" t="s">
        <v>6</v>
      </c>
      <c r="G349" s="125" t="s">
        <v>137</v>
      </c>
      <c r="H349" s="132" t="s">
        <v>497</v>
      </c>
      <c r="I349" s="194"/>
    </row>
    <row r="350" s="97" customFormat="1" spans="1:9">
      <c r="A350" s="123" t="s">
        <v>344</v>
      </c>
      <c r="B350" s="123" t="s">
        <v>44</v>
      </c>
      <c r="C350" s="182">
        <v>121848.708106887</v>
      </c>
      <c r="D350" s="125" t="s">
        <v>25</v>
      </c>
      <c r="E350" s="125">
        <f t="shared" si="40"/>
        <v>-121848.708106887</v>
      </c>
      <c r="F350" s="125" t="s">
        <v>6</v>
      </c>
      <c r="G350" s="125" t="s">
        <v>137</v>
      </c>
      <c r="H350" s="132" t="s">
        <v>497</v>
      </c>
      <c r="I350" s="194"/>
    </row>
    <row r="351" s="97" customFormat="1" spans="1:9">
      <c r="A351" s="123" t="s">
        <v>346</v>
      </c>
      <c r="B351" s="123" t="s">
        <v>44</v>
      </c>
      <c r="C351" s="182">
        <v>460174</v>
      </c>
      <c r="D351" s="125" t="s">
        <v>26</v>
      </c>
      <c r="E351" s="125">
        <f t="shared" si="40"/>
        <v>-460174</v>
      </c>
      <c r="F351" s="125" t="s">
        <v>6</v>
      </c>
      <c r="G351" s="125" t="s">
        <v>137</v>
      </c>
      <c r="H351" s="132" t="s">
        <v>497</v>
      </c>
      <c r="I351" s="194"/>
    </row>
    <row r="352" s="97" customFormat="1" spans="1:9">
      <c r="A352" s="123" t="s">
        <v>348</v>
      </c>
      <c r="B352" s="123" t="s">
        <v>44</v>
      </c>
      <c r="C352" s="182">
        <v>50311</v>
      </c>
      <c r="D352" s="125" t="s">
        <v>27</v>
      </c>
      <c r="E352" s="125">
        <f t="shared" si="40"/>
        <v>-50311</v>
      </c>
      <c r="F352" s="125" t="s">
        <v>6</v>
      </c>
      <c r="G352" s="125" t="s">
        <v>137</v>
      </c>
      <c r="H352" s="132" t="s">
        <v>497</v>
      </c>
      <c r="I352" s="194"/>
    </row>
    <row r="353" spans="1:9">
      <c r="A353" s="123" t="s">
        <v>348</v>
      </c>
      <c r="B353" s="123" t="s">
        <v>44</v>
      </c>
      <c r="C353" s="125">
        <v>361951</v>
      </c>
      <c r="D353" s="125" t="s">
        <v>11</v>
      </c>
      <c r="E353" s="125">
        <f t="shared" si="40"/>
        <v>-361951</v>
      </c>
      <c r="F353" s="125" t="s">
        <v>6</v>
      </c>
      <c r="G353" s="125" t="s">
        <v>137</v>
      </c>
      <c r="H353" s="125" t="s">
        <v>498</v>
      </c>
      <c r="I353" s="132"/>
    </row>
    <row r="354" spans="1:9">
      <c r="A354" s="123" t="s">
        <v>351</v>
      </c>
      <c r="B354" s="123" t="s">
        <v>44</v>
      </c>
      <c r="C354" s="125">
        <v>421575</v>
      </c>
      <c r="D354" s="125" t="s">
        <v>10</v>
      </c>
      <c r="E354" s="125">
        <f t="shared" si="40"/>
        <v>-421575</v>
      </c>
      <c r="F354" s="125" t="s">
        <v>6</v>
      </c>
      <c r="G354" s="125" t="s">
        <v>137</v>
      </c>
      <c r="H354" s="125" t="s">
        <v>498</v>
      </c>
      <c r="I354" s="132"/>
    </row>
    <row r="355" spans="1:9">
      <c r="A355" s="123" t="s">
        <v>354</v>
      </c>
      <c r="B355" s="123" t="s">
        <v>44</v>
      </c>
      <c r="C355" s="125">
        <v>403109</v>
      </c>
      <c r="D355" s="125" t="s">
        <v>12</v>
      </c>
      <c r="E355" s="125">
        <f t="shared" si="40"/>
        <v>-403109</v>
      </c>
      <c r="F355" s="125" t="s">
        <v>6</v>
      </c>
      <c r="G355" s="125" t="s">
        <v>137</v>
      </c>
      <c r="H355" s="125" t="s">
        <v>498</v>
      </c>
      <c r="I355" s="132"/>
    </row>
    <row r="356" s="97" customFormat="1" customHeight="1" spans="1:22">
      <c r="A356" s="197" t="s">
        <v>324</v>
      </c>
      <c r="B356" s="123" t="s">
        <v>44</v>
      </c>
      <c r="C356" s="125">
        <v>368844.022871573</v>
      </c>
      <c r="D356" s="125" t="s">
        <v>14</v>
      </c>
      <c r="E356" s="125">
        <f t="shared" si="40"/>
        <v>-368844.022871573</v>
      </c>
      <c r="F356" s="125" t="s">
        <v>6</v>
      </c>
      <c r="G356" s="125" t="s">
        <v>137</v>
      </c>
      <c r="H356" s="132" t="s">
        <v>499</v>
      </c>
      <c r="I356" s="132"/>
      <c r="J356" s="15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</row>
    <row r="357" s="97" customFormat="1" customHeight="1" spans="1:22">
      <c r="A357" s="197" t="s">
        <v>326</v>
      </c>
      <c r="B357" s="123" t="s">
        <v>44</v>
      </c>
      <c r="C357" s="125">
        <v>383046.865187976</v>
      </c>
      <c r="D357" s="125" t="s">
        <v>15</v>
      </c>
      <c r="E357" s="125">
        <f t="shared" si="40"/>
        <v>-383046.865187976</v>
      </c>
      <c r="F357" s="125" t="s">
        <v>6</v>
      </c>
      <c r="G357" s="125" t="s">
        <v>137</v>
      </c>
      <c r="H357" s="132" t="s">
        <v>499</v>
      </c>
      <c r="I357" s="132"/>
      <c r="J357" s="15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</row>
    <row r="358" s="97" customFormat="1" customHeight="1" spans="1:22">
      <c r="A358" s="197" t="s">
        <v>328</v>
      </c>
      <c r="B358" s="123" t="s">
        <v>44</v>
      </c>
      <c r="C358" s="125">
        <v>356297.368658009</v>
      </c>
      <c r="D358" s="182" t="s">
        <v>16</v>
      </c>
      <c r="E358" s="125">
        <f t="shared" si="40"/>
        <v>-356297.368658009</v>
      </c>
      <c r="F358" s="182" t="s">
        <v>6</v>
      </c>
      <c r="G358" s="125" t="s">
        <v>137</v>
      </c>
      <c r="H358" s="132" t="s">
        <v>499</v>
      </c>
      <c r="I358" s="188"/>
      <c r="J358" s="15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</row>
    <row r="359" spans="1:9">
      <c r="A359" s="195"/>
      <c r="B359" s="125" t="s">
        <v>44</v>
      </c>
      <c r="C359" s="131">
        <f>71000</f>
        <v>71000</v>
      </c>
      <c r="D359" s="125" t="s">
        <v>7</v>
      </c>
      <c r="E359" s="125">
        <f t="shared" ref="E359:E364" si="41">-C359</f>
        <v>-71000</v>
      </c>
      <c r="F359" s="125" t="s">
        <v>5</v>
      </c>
      <c r="G359" s="125" t="s">
        <v>105</v>
      </c>
      <c r="H359" s="132" t="s">
        <v>500</v>
      </c>
      <c r="I359" s="194"/>
    </row>
    <row r="360" spans="1:9">
      <c r="A360" s="195"/>
      <c r="B360" s="125" t="s">
        <v>44</v>
      </c>
      <c r="C360" s="131">
        <f>35000/1.06</f>
        <v>33018.8679245283</v>
      </c>
      <c r="D360" s="125" t="s">
        <v>7</v>
      </c>
      <c r="E360" s="125">
        <f t="shared" si="41"/>
        <v>-33018.8679245283</v>
      </c>
      <c r="F360" s="125" t="s">
        <v>5</v>
      </c>
      <c r="G360" s="125" t="s">
        <v>105</v>
      </c>
      <c r="H360" s="132" t="s">
        <v>420</v>
      </c>
      <c r="I360" s="194"/>
    </row>
    <row r="361" spans="1:9">
      <c r="A361" s="195"/>
      <c r="B361" s="125" t="s">
        <v>44</v>
      </c>
      <c r="C361" s="131">
        <f>20000</f>
        <v>20000</v>
      </c>
      <c r="D361" s="125" t="s">
        <v>15</v>
      </c>
      <c r="E361" s="125">
        <f t="shared" si="41"/>
        <v>-20000</v>
      </c>
      <c r="F361" s="125" t="s">
        <v>5</v>
      </c>
      <c r="G361" s="125" t="s">
        <v>105</v>
      </c>
      <c r="H361" s="132" t="s">
        <v>420</v>
      </c>
      <c r="I361" s="194"/>
    </row>
    <row r="362" spans="1:9">
      <c r="A362" s="195"/>
      <c r="B362" s="123" t="s">
        <v>44</v>
      </c>
      <c r="C362" s="198">
        <v>438406.082886103</v>
      </c>
      <c r="D362" s="182" t="s">
        <v>17</v>
      </c>
      <c r="E362" s="125">
        <f t="shared" si="41"/>
        <v>-438406.082886103</v>
      </c>
      <c r="F362" s="182" t="s">
        <v>6</v>
      </c>
      <c r="G362" s="125" t="s">
        <v>138</v>
      </c>
      <c r="H362" s="132" t="s">
        <v>499</v>
      </c>
      <c r="I362" s="194"/>
    </row>
    <row r="363" spans="1:9">
      <c r="A363" s="195"/>
      <c r="B363" s="123" t="s">
        <v>44</v>
      </c>
      <c r="C363" s="198">
        <v>384159.999729121</v>
      </c>
      <c r="D363" s="182" t="s">
        <v>18</v>
      </c>
      <c r="E363" s="125">
        <f t="shared" si="41"/>
        <v>-384159.999729121</v>
      </c>
      <c r="F363" s="182" t="s">
        <v>6</v>
      </c>
      <c r="G363" s="125" t="s">
        <v>138</v>
      </c>
      <c r="H363" s="132" t="s">
        <v>499</v>
      </c>
      <c r="I363" s="194"/>
    </row>
    <row r="364" spans="1:9">
      <c r="A364" s="195"/>
      <c r="B364" s="123" t="s">
        <v>44</v>
      </c>
      <c r="C364" s="198">
        <v>370700.009288478</v>
      </c>
      <c r="D364" s="182" t="s">
        <v>19</v>
      </c>
      <c r="E364" s="125">
        <f t="shared" si="41"/>
        <v>-370700.009288478</v>
      </c>
      <c r="F364" s="182" t="s">
        <v>6</v>
      </c>
      <c r="G364" s="125" t="s">
        <v>138</v>
      </c>
      <c r="H364" s="132" t="s">
        <v>499</v>
      </c>
      <c r="I364" s="194"/>
    </row>
    <row r="365" ht="17.25" spans="1:9">
      <c r="A365" s="199"/>
      <c r="B365" s="133" t="s">
        <v>44</v>
      </c>
      <c r="C365" s="200">
        <v>-53832.62</v>
      </c>
      <c r="D365" s="201" t="s">
        <v>22</v>
      </c>
      <c r="E365" s="125">
        <f t="shared" ref="E365" si="42">-C365</f>
        <v>53832.62</v>
      </c>
      <c r="F365" s="202" t="s">
        <v>25</v>
      </c>
      <c r="G365" s="203" t="s">
        <v>96</v>
      </c>
      <c r="H365" s="204"/>
      <c r="I365" s="202"/>
    </row>
    <row r="366" spans="1:9">
      <c r="A366" s="205"/>
      <c r="B366" s="123" t="s">
        <v>44</v>
      </c>
      <c r="C366" s="206">
        <v>-146491.24</v>
      </c>
      <c r="D366" s="207" t="s">
        <v>7</v>
      </c>
      <c r="E366" s="208">
        <v>146491.24</v>
      </c>
      <c r="F366" s="207" t="s">
        <v>6</v>
      </c>
      <c r="G366" s="209" t="s">
        <v>138</v>
      </c>
      <c r="H366" s="207" t="s">
        <v>501</v>
      </c>
      <c r="I366" s="220"/>
    </row>
    <row r="367" spans="1:9">
      <c r="A367" s="205"/>
      <c r="B367" s="210" t="s">
        <v>44</v>
      </c>
      <c r="C367" s="206">
        <v>-212054.79</v>
      </c>
      <c r="D367" s="207" t="s">
        <v>9</v>
      </c>
      <c r="E367" s="208">
        <v>212054.79</v>
      </c>
      <c r="F367" s="207" t="s">
        <v>11</v>
      </c>
      <c r="G367" s="209" t="s">
        <v>108</v>
      </c>
      <c r="H367" s="211" t="s">
        <v>502</v>
      </c>
      <c r="I367" s="220"/>
    </row>
    <row r="368" spans="1:9">
      <c r="A368" s="205"/>
      <c r="B368" s="210" t="s">
        <v>44</v>
      </c>
      <c r="C368" s="206">
        <v>-60000</v>
      </c>
      <c r="D368" s="207" t="s">
        <v>9</v>
      </c>
      <c r="E368" s="208">
        <v>60000</v>
      </c>
      <c r="F368" s="207" t="s">
        <v>10</v>
      </c>
      <c r="G368" s="209" t="s">
        <v>108</v>
      </c>
      <c r="H368" s="211" t="s">
        <v>502</v>
      </c>
      <c r="I368" s="220"/>
    </row>
    <row r="369" spans="1:9">
      <c r="A369" s="205"/>
      <c r="B369" s="210" t="s">
        <v>44</v>
      </c>
      <c r="C369" s="206">
        <v>-70399.55</v>
      </c>
      <c r="D369" s="207" t="s">
        <v>9</v>
      </c>
      <c r="E369" s="208">
        <v>70399.55</v>
      </c>
      <c r="F369" s="207" t="s">
        <v>12</v>
      </c>
      <c r="G369" s="209" t="s">
        <v>108</v>
      </c>
      <c r="H369" s="211" t="s">
        <v>502</v>
      </c>
      <c r="I369" s="220"/>
    </row>
    <row r="370" spans="2:10">
      <c r="B370" s="103" t="s">
        <v>44</v>
      </c>
      <c r="C370" s="212">
        <v>-120148.4</v>
      </c>
      <c r="D370" s="213" t="s">
        <v>9</v>
      </c>
      <c r="E370" s="213">
        <v>120148.4</v>
      </c>
      <c r="F370" s="105" t="s">
        <v>16</v>
      </c>
      <c r="G370" s="105" t="s">
        <v>108</v>
      </c>
      <c r="H370" s="211" t="s">
        <v>502</v>
      </c>
      <c r="I370" s="132"/>
      <c r="J370" s="221"/>
    </row>
    <row r="371" s="102" customFormat="1" customHeight="1" spans="1:22">
      <c r="A371" s="214"/>
      <c r="B371" s="145" t="s">
        <v>44</v>
      </c>
      <c r="C371" s="196">
        <v>78693</v>
      </c>
      <c r="D371" s="215" t="s">
        <v>7</v>
      </c>
      <c r="E371" s="216">
        <f>-C371</f>
        <v>-78693</v>
      </c>
      <c r="F371" s="215" t="s">
        <v>5</v>
      </c>
      <c r="G371" s="160" t="s">
        <v>104</v>
      </c>
      <c r="H371" s="217" t="s">
        <v>503</v>
      </c>
      <c r="I371" s="217"/>
      <c r="J371" s="222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</row>
    <row r="372" s="102" customFormat="1" customHeight="1" spans="1:22">
      <c r="A372" s="214"/>
      <c r="B372" s="103" t="s">
        <v>44</v>
      </c>
      <c r="C372" s="196">
        <v>23431.2</v>
      </c>
      <c r="D372" s="215" t="s">
        <v>7</v>
      </c>
      <c r="E372" s="216">
        <f>-C372</f>
        <v>-23431.2</v>
      </c>
      <c r="F372" s="215" t="s">
        <v>22</v>
      </c>
      <c r="G372" s="162" t="s">
        <v>104</v>
      </c>
      <c r="H372" s="125" t="s">
        <v>504</v>
      </c>
      <c r="I372" s="217"/>
      <c r="J372" s="222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</row>
    <row r="373" s="102" customFormat="1" customHeight="1" spans="1:22">
      <c r="A373" s="214"/>
      <c r="B373" s="103" t="s">
        <v>44</v>
      </c>
      <c r="C373" s="196">
        <v>8000000</v>
      </c>
      <c r="D373" s="215" t="s">
        <v>5</v>
      </c>
      <c r="E373" s="216">
        <f>-C373</f>
        <v>-8000000</v>
      </c>
      <c r="F373" s="215" t="s">
        <v>6</v>
      </c>
      <c r="G373" s="162" t="s">
        <v>92</v>
      </c>
      <c r="H373" s="132"/>
      <c r="I373" s="217"/>
      <c r="J373" s="222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</row>
    <row r="374" s="102" customFormat="1" customHeight="1" spans="1:22">
      <c r="A374" s="214"/>
      <c r="B374" s="103" t="s">
        <v>44</v>
      </c>
      <c r="C374" s="196">
        <v>-8000000</v>
      </c>
      <c r="D374" s="215" t="s">
        <v>5</v>
      </c>
      <c r="E374" s="216">
        <v>8000000</v>
      </c>
      <c r="F374" s="215" t="s">
        <v>6</v>
      </c>
      <c r="G374" s="162" t="s">
        <v>101</v>
      </c>
      <c r="H374" s="132"/>
      <c r="I374" s="217"/>
      <c r="J374" s="222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</row>
    <row r="375" s="102" customFormat="1" customHeight="1" spans="1:22">
      <c r="A375" s="214"/>
      <c r="B375" s="103" t="s">
        <v>44</v>
      </c>
      <c r="C375" s="196">
        <v>1217459.08</v>
      </c>
      <c r="D375" s="215" t="s">
        <v>5</v>
      </c>
      <c r="E375" s="216">
        <f>-C375</f>
        <v>-1217459.08</v>
      </c>
      <c r="F375" s="215" t="s">
        <v>9</v>
      </c>
      <c r="G375" s="162" t="s">
        <v>101</v>
      </c>
      <c r="H375" s="132"/>
      <c r="I375" s="217"/>
      <c r="J375" s="222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</row>
    <row r="376" s="102" customFormat="1" customHeight="1" spans="1:22">
      <c r="A376" s="214"/>
      <c r="B376" s="103" t="s">
        <v>44</v>
      </c>
      <c r="C376" s="196">
        <f>-1217459.08</f>
        <v>-1217459.08</v>
      </c>
      <c r="D376" s="215" t="s">
        <v>5</v>
      </c>
      <c r="E376" s="216">
        <f>-C376</f>
        <v>1217459.08</v>
      </c>
      <c r="F376" s="215" t="s">
        <v>9</v>
      </c>
      <c r="G376" s="162" t="s">
        <v>104</v>
      </c>
      <c r="H376" s="132"/>
      <c r="I376" s="217"/>
      <c r="J376" s="222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</row>
    <row r="377" spans="1:10">
      <c r="A377" s="118"/>
      <c r="B377" s="118" t="s">
        <v>70</v>
      </c>
      <c r="C377" s="125">
        <v>301192196.714789</v>
      </c>
      <c r="D377" s="175" t="s">
        <v>7</v>
      </c>
      <c r="E377" s="175"/>
      <c r="F377" s="175"/>
      <c r="G377" s="176"/>
      <c r="H377" s="132"/>
      <c r="I377" s="132"/>
      <c r="J377" s="221"/>
    </row>
    <row r="378" spans="1:10">
      <c r="A378" s="118"/>
      <c r="B378" s="118" t="s">
        <v>70</v>
      </c>
      <c r="C378" s="139" t="e">
        <f>资金!#REF!</f>
        <v>#REF!</v>
      </c>
      <c r="D378" s="175" t="s">
        <v>14</v>
      </c>
      <c r="E378" s="175"/>
      <c r="F378" s="175"/>
      <c r="G378" s="176"/>
      <c r="H378" s="132"/>
      <c r="I378" s="132"/>
      <c r="J378" s="221"/>
    </row>
    <row r="379" spans="1:10">
      <c r="A379" s="118"/>
      <c r="B379" s="118" t="s">
        <v>70</v>
      </c>
      <c r="C379" s="139" t="e">
        <f>资金!#REF!</f>
        <v>#REF!</v>
      </c>
      <c r="D379" s="175" t="s">
        <v>17</v>
      </c>
      <c r="E379" s="175"/>
      <c r="F379" s="175"/>
      <c r="G379" s="176"/>
      <c r="H379" s="132"/>
      <c r="I379" s="132"/>
      <c r="J379" s="221"/>
    </row>
    <row r="380" spans="1:10">
      <c r="A380" s="118"/>
      <c r="B380" s="118" t="s">
        <v>70</v>
      </c>
      <c r="C380" s="139" t="e">
        <f>资金!#REF!</f>
        <v>#REF!</v>
      </c>
      <c r="D380" s="175" t="s">
        <v>19</v>
      </c>
      <c r="E380" s="175"/>
      <c r="F380" s="175"/>
      <c r="G380" s="176"/>
      <c r="H380" s="132"/>
      <c r="I380" s="132"/>
      <c r="J380" s="114"/>
    </row>
    <row r="381" spans="1:10">
      <c r="A381" s="118"/>
      <c r="B381" s="118" t="s">
        <v>70</v>
      </c>
      <c r="C381" s="139" t="e">
        <f>资金!#REF!</f>
        <v>#REF!</v>
      </c>
      <c r="D381" s="175" t="s">
        <v>12</v>
      </c>
      <c r="E381" s="175"/>
      <c r="F381" s="175"/>
      <c r="G381" s="176"/>
      <c r="H381" s="132"/>
      <c r="I381" s="132"/>
      <c r="J381" s="114"/>
    </row>
    <row r="382" spans="1:10">
      <c r="A382" s="118"/>
      <c r="B382" s="118" t="s">
        <v>70</v>
      </c>
      <c r="C382" s="139" t="e">
        <f>资金!#REF!</f>
        <v>#REF!</v>
      </c>
      <c r="D382" s="175" t="s">
        <v>16</v>
      </c>
      <c r="E382" s="175"/>
      <c r="F382" s="175"/>
      <c r="G382" s="176"/>
      <c r="H382" s="132"/>
      <c r="I382" s="132"/>
      <c r="J382" s="114"/>
    </row>
    <row r="383" spans="1:10">
      <c r="A383" s="118"/>
      <c r="B383" s="118" t="s">
        <v>70</v>
      </c>
      <c r="C383" s="139" t="e">
        <f>资金!#REF!</f>
        <v>#REF!</v>
      </c>
      <c r="D383" s="218" t="s">
        <v>10</v>
      </c>
      <c r="E383" s="218"/>
      <c r="F383" s="218"/>
      <c r="G383" s="219"/>
      <c r="H383" s="132"/>
      <c r="I383" s="132"/>
      <c r="J383" s="221"/>
    </row>
    <row r="384" spans="1:10">
      <c r="A384" s="118"/>
      <c r="B384" s="118" t="s">
        <v>70</v>
      </c>
      <c r="C384" s="139" t="e">
        <f>资金!#REF!-C382</f>
        <v>#REF!</v>
      </c>
      <c r="D384" s="218" t="s">
        <v>11</v>
      </c>
      <c r="E384" s="218"/>
      <c r="F384" s="218"/>
      <c r="G384" s="219"/>
      <c r="H384" s="132"/>
      <c r="I384" s="132"/>
      <c r="J384" s="114"/>
    </row>
    <row r="385" spans="1:10">
      <c r="A385" s="118"/>
      <c r="B385" s="118" t="s">
        <v>70</v>
      </c>
      <c r="C385" s="139" t="e">
        <f>资金!#REF!</f>
        <v>#REF!</v>
      </c>
      <c r="D385" s="218" t="s">
        <v>9</v>
      </c>
      <c r="E385" s="218"/>
      <c r="F385" s="218"/>
      <c r="G385" s="219"/>
      <c r="H385" s="132"/>
      <c r="I385" s="132"/>
      <c r="J385" s="114"/>
    </row>
    <row r="386" spans="1:10">
      <c r="A386" s="118"/>
      <c r="B386" s="118" t="s">
        <v>70</v>
      </c>
      <c r="C386" s="139" t="e">
        <f>资金!#REF!</f>
        <v>#REF!</v>
      </c>
      <c r="D386" s="218" t="s">
        <v>23</v>
      </c>
      <c r="E386" s="218"/>
      <c r="F386" s="218"/>
      <c r="G386" s="219"/>
      <c r="H386" s="132"/>
      <c r="I386" s="132"/>
      <c r="J386" s="114"/>
    </row>
    <row r="387" spans="1:10">
      <c r="A387" s="118"/>
      <c r="B387" s="118" t="s">
        <v>70</v>
      </c>
      <c r="C387" s="139" t="e">
        <f>资金!#REF!</f>
        <v>#REF!</v>
      </c>
      <c r="D387" s="218" t="s">
        <v>18</v>
      </c>
      <c r="E387" s="218"/>
      <c r="F387" s="218"/>
      <c r="G387" s="219"/>
      <c r="H387" s="132"/>
      <c r="I387" s="132"/>
      <c r="J387" s="114"/>
    </row>
    <row r="388" spans="1:9">
      <c r="A388" s="118"/>
      <c r="B388" s="118" t="s">
        <v>70</v>
      </c>
      <c r="C388" s="139"/>
      <c r="D388" s="218" t="s">
        <v>15</v>
      </c>
      <c r="E388" s="218"/>
      <c r="F388" s="218"/>
      <c r="G388" s="219"/>
      <c r="H388" s="132"/>
      <c r="I388" s="132"/>
    </row>
    <row r="389" ht="17.25" spans="1:9">
      <c r="A389" s="224"/>
      <c r="B389" s="224" t="s">
        <v>505</v>
      </c>
      <c r="C389" s="225"/>
      <c r="D389" s="226">
        <f>C365-SUM(D370:D388)</f>
        <v>-53832.62</v>
      </c>
      <c r="E389" s="226"/>
      <c r="F389" s="226">
        <f>E365-SUM(F370:F388)</f>
        <v>53832.62</v>
      </c>
      <c r="G389" s="227"/>
      <c r="H389" s="202"/>
      <c r="I389" s="202"/>
    </row>
    <row r="390" ht="17.25" spans="1:9">
      <c r="A390" s="228"/>
      <c r="B390" s="228"/>
      <c r="C390" s="229">
        <f>C393+累计利润调整表!B58</f>
        <v>480414.223333299</v>
      </c>
      <c r="D390" s="230"/>
      <c r="E390" s="231"/>
      <c r="F390" s="220"/>
      <c r="G390" s="220"/>
      <c r="H390" s="220"/>
      <c r="I390" s="220"/>
    </row>
    <row r="391" ht="18" spans="1:9">
      <c r="A391" s="228"/>
      <c r="B391" s="228"/>
      <c r="C391" s="232"/>
      <c r="D391" s="230"/>
      <c r="E391" s="231" t="s">
        <v>506</v>
      </c>
      <c r="F391" s="220"/>
      <c r="G391" s="220"/>
      <c r="H391" s="220"/>
      <c r="I391" s="220"/>
    </row>
    <row r="392" spans="1:9">
      <c r="A392" s="116" t="s">
        <v>507</v>
      </c>
      <c r="B392" s="116" t="s">
        <v>3</v>
      </c>
      <c r="C392" s="233" t="s">
        <v>297</v>
      </c>
      <c r="D392" s="116" t="s">
        <v>298</v>
      </c>
      <c r="E392" s="116" t="s">
        <v>299</v>
      </c>
      <c r="F392" s="117" t="s">
        <v>300</v>
      </c>
      <c r="G392" s="117" t="s">
        <v>508</v>
      </c>
      <c r="H392" s="117" t="s">
        <v>302</v>
      </c>
      <c r="I392" s="117" t="s">
        <v>303</v>
      </c>
    </row>
    <row r="393" spans="1:9">
      <c r="A393" s="234"/>
      <c r="B393" s="234" t="s">
        <v>509</v>
      </c>
      <c r="C393" s="235">
        <f>SUM(C394:C405)</f>
        <v>204422033.53</v>
      </c>
      <c r="D393" s="234"/>
      <c r="E393" s="234">
        <f>SUM(E394:E403)</f>
        <v>-205420624.49</v>
      </c>
      <c r="F393" s="236"/>
      <c r="G393" s="236"/>
      <c r="H393" s="236"/>
      <c r="I393" s="236"/>
    </row>
    <row r="394" spans="1:9">
      <c r="A394" s="123" t="s">
        <v>291</v>
      </c>
      <c r="B394" s="123" t="s">
        <v>53</v>
      </c>
      <c r="C394" s="125">
        <v>-16010954.09</v>
      </c>
      <c r="D394" s="125" t="s">
        <v>17</v>
      </c>
      <c r="E394" s="125">
        <f>-C394</f>
        <v>16010954.09</v>
      </c>
      <c r="F394" s="125" t="s">
        <v>17</v>
      </c>
      <c r="G394" s="125" t="s">
        <v>39</v>
      </c>
      <c r="H394" s="125" t="s">
        <v>510</v>
      </c>
      <c r="I394" s="125"/>
    </row>
    <row r="395" spans="1:9">
      <c r="A395" s="123" t="s">
        <v>307</v>
      </c>
      <c r="B395" s="123" t="s">
        <v>53</v>
      </c>
      <c r="C395" s="125">
        <v>4237635</v>
      </c>
      <c r="D395" s="125" t="s">
        <v>17</v>
      </c>
      <c r="E395" s="125">
        <f>-C395</f>
        <v>-4237635</v>
      </c>
      <c r="F395" s="125" t="s">
        <v>10</v>
      </c>
      <c r="G395" s="125" t="s">
        <v>39</v>
      </c>
      <c r="H395" s="125" t="s">
        <v>511</v>
      </c>
      <c r="I395" s="125"/>
    </row>
    <row r="396" spans="1:9">
      <c r="A396" s="123" t="s">
        <v>309</v>
      </c>
      <c r="B396" s="123" t="s">
        <v>53</v>
      </c>
      <c r="C396" s="139">
        <v>204771867.02</v>
      </c>
      <c r="D396" s="125" t="s">
        <v>10</v>
      </c>
      <c r="E396" s="125">
        <f t="shared" ref="E396:E405" si="43">-C396</f>
        <v>-204771867.02</v>
      </c>
      <c r="F396" s="125" t="s">
        <v>10</v>
      </c>
      <c r="G396" s="125" t="s">
        <v>39</v>
      </c>
      <c r="H396" s="125"/>
      <c r="I396" s="125"/>
    </row>
    <row r="397" spans="1:9">
      <c r="A397" s="123" t="s">
        <v>312</v>
      </c>
      <c r="B397" s="123" t="s">
        <v>53</v>
      </c>
      <c r="C397" s="125">
        <v>5173322.69</v>
      </c>
      <c r="D397" s="125" t="s">
        <v>12</v>
      </c>
      <c r="E397" s="125">
        <f t="shared" si="43"/>
        <v>-5173322.69</v>
      </c>
      <c r="F397" s="125" t="s">
        <v>12</v>
      </c>
      <c r="G397" s="125" t="s">
        <v>39</v>
      </c>
      <c r="H397" s="168" t="s">
        <v>512</v>
      </c>
      <c r="I397" s="168"/>
    </row>
    <row r="398" spans="1:10">
      <c r="A398" s="123" t="s">
        <v>314</v>
      </c>
      <c r="B398" s="123" t="s">
        <v>53</v>
      </c>
      <c r="C398" s="139">
        <v>9485250.83</v>
      </c>
      <c r="D398" s="125" t="s">
        <v>14</v>
      </c>
      <c r="E398" s="125">
        <f t="shared" si="43"/>
        <v>-9485250.83</v>
      </c>
      <c r="F398" s="125" t="s">
        <v>14</v>
      </c>
      <c r="G398" s="125" t="s">
        <v>39</v>
      </c>
      <c r="H398" s="125" t="s">
        <v>513</v>
      </c>
      <c r="I398" s="125"/>
      <c r="J398" s="114"/>
    </row>
    <row r="399" spans="1:9">
      <c r="A399" s="123" t="s">
        <v>316</v>
      </c>
      <c r="B399" s="123" t="s">
        <v>53</v>
      </c>
      <c r="C399" s="139">
        <f>960828.46/2</f>
        <v>480414.23</v>
      </c>
      <c r="D399" s="125" t="s">
        <v>16</v>
      </c>
      <c r="E399" s="237">
        <f t="shared" si="43"/>
        <v>-480414.23</v>
      </c>
      <c r="F399" s="125" t="s">
        <v>11</v>
      </c>
      <c r="G399" s="125" t="s">
        <v>53</v>
      </c>
      <c r="H399" s="125" t="s">
        <v>514</v>
      </c>
      <c r="I399" s="125"/>
    </row>
    <row r="400" spans="1:9">
      <c r="A400" s="123" t="s">
        <v>318</v>
      </c>
      <c r="B400" s="123" t="s">
        <v>53</v>
      </c>
      <c r="C400" s="238">
        <v>168762.47</v>
      </c>
      <c r="D400" s="125" t="s">
        <v>9</v>
      </c>
      <c r="E400" s="125">
        <f t="shared" si="43"/>
        <v>-168762.47</v>
      </c>
      <c r="F400" s="125" t="s">
        <v>9</v>
      </c>
      <c r="G400" s="125" t="s">
        <v>39</v>
      </c>
      <c r="H400" s="125" t="s">
        <v>515</v>
      </c>
      <c r="I400" s="125"/>
    </row>
    <row r="401" spans="1:9">
      <c r="A401" s="123" t="s">
        <v>434</v>
      </c>
      <c r="B401" s="123" t="s">
        <v>53</v>
      </c>
      <c r="C401" s="124">
        <f>-960828.46/2-152380.8</f>
        <v>-632795.03</v>
      </c>
      <c r="D401" s="125" t="s">
        <v>11</v>
      </c>
      <c r="E401" s="125">
        <f t="shared" si="43"/>
        <v>632795.03</v>
      </c>
      <c r="F401" s="125" t="s">
        <v>11</v>
      </c>
      <c r="G401" s="125" t="s">
        <v>39</v>
      </c>
      <c r="H401" s="125" t="s">
        <v>516</v>
      </c>
      <c r="I401" s="168"/>
    </row>
    <row r="402" spans="1:9">
      <c r="A402" s="123" t="s">
        <v>424</v>
      </c>
      <c r="B402" s="123" t="s">
        <v>53</v>
      </c>
      <c r="C402" s="139">
        <f>-累计利润调整表!E26/0.75</f>
        <v>-1772464.4</v>
      </c>
      <c r="D402" s="125" t="s">
        <v>7</v>
      </c>
      <c r="E402" s="125">
        <f t="shared" si="43"/>
        <v>1772464.4</v>
      </c>
      <c r="F402" s="125" t="s">
        <v>7</v>
      </c>
      <c r="G402" s="125" t="s">
        <v>39</v>
      </c>
      <c r="H402" s="168" t="s">
        <v>517</v>
      </c>
      <c r="I402" s="168"/>
    </row>
    <row r="403" spans="1:9">
      <c r="A403" s="123"/>
      <c r="B403" s="123" t="s">
        <v>53</v>
      </c>
      <c r="C403" s="139">
        <f>-C399</f>
        <v>-480414.23</v>
      </c>
      <c r="D403" s="125" t="s">
        <v>16</v>
      </c>
      <c r="E403" s="237">
        <f t="shared" si="43"/>
        <v>480414.23</v>
      </c>
      <c r="F403" s="125" t="s">
        <v>16</v>
      </c>
      <c r="G403" s="125" t="s">
        <v>39</v>
      </c>
      <c r="H403" s="125" t="s">
        <v>514</v>
      </c>
      <c r="I403" s="168"/>
    </row>
    <row r="404" spans="1:9">
      <c r="A404" s="210"/>
      <c r="B404" s="123" t="s">
        <v>53</v>
      </c>
      <c r="C404" s="125">
        <f>-998590.96/2</f>
        <v>-499295.48</v>
      </c>
      <c r="D404" s="125" t="s">
        <v>14</v>
      </c>
      <c r="E404" s="125">
        <f t="shared" si="43"/>
        <v>499295.48</v>
      </c>
      <c r="F404" s="125" t="s">
        <v>11</v>
      </c>
      <c r="G404" s="125" t="s">
        <v>39</v>
      </c>
      <c r="H404" s="125" t="s">
        <v>518</v>
      </c>
      <c r="I404" s="241"/>
    </row>
    <row r="405" spans="1:10">
      <c r="A405" s="210"/>
      <c r="B405" s="123" t="s">
        <v>53</v>
      </c>
      <c r="C405" s="125">
        <f>-998590.96/2</f>
        <v>-499295.48</v>
      </c>
      <c r="D405" s="125" t="s">
        <v>14</v>
      </c>
      <c r="E405" s="125">
        <f t="shared" si="43"/>
        <v>499295.48</v>
      </c>
      <c r="F405" s="125" t="s">
        <v>16</v>
      </c>
      <c r="G405" s="125" t="s">
        <v>39</v>
      </c>
      <c r="H405" s="125" t="s">
        <v>519</v>
      </c>
      <c r="I405" s="241"/>
      <c r="J405" s="114"/>
    </row>
    <row r="406" spans="1:8">
      <c r="A406" s="107"/>
      <c r="B406" s="107" t="s">
        <v>520</v>
      </c>
      <c r="C406" s="239"/>
      <c r="D406" s="107"/>
      <c r="E406" s="107"/>
      <c r="F406" s="107"/>
      <c r="G406" s="107"/>
      <c r="H406" s="107"/>
    </row>
    <row r="407" spans="1:8">
      <c r="A407" s="107"/>
      <c r="B407" s="107" t="s">
        <v>521</v>
      </c>
      <c r="C407" s="239"/>
      <c r="D407" s="107"/>
      <c r="E407" s="107"/>
      <c r="F407" s="107"/>
      <c r="G407" s="107"/>
      <c r="H407" s="107"/>
    </row>
    <row r="408" spans="1:8">
      <c r="A408" s="107"/>
      <c r="B408" s="107" t="s">
        <v>522</v>
      </c>
      <c r="C408" s="239"/>
      <c r="D408" s="107"/>
      <c r="E408" s="107"/>
      <c r="F408" s="107"/>
      <c r="G408" s="107"/>
      <c r="H408" s="107"/>
    </row>
    <row r="409" spans="1:8">
      <c r="A409" s="107"/>
      <c r="B409" s="107" t="s">
        <v>523</v>
      </c>
      <c r="C409" s="239"/>
      <c r="D409" s="107"/>
      <c r="E409" s="107"/>
      <c r="F409" s="107"/>
      <c r="G409" s="107"/>
      <c r="H409" s="107"/>
    </row>
    <row r="410" spans="1:8">
      <c r="A410" s="107"/>
      <c r="B410" s="107" t="s">
        <v>524</v>
      </c>
      <c r="C410" s="239"/>
      <c r="D410" s="114"/>
      <c r="E410" s="114"/>
      <c r="F410" s="107"/>
      <c r="G410" s="107"/>
      <c r="H410" s="107"/>
    </row>
    <row r="411" spans="1:8">
      <c r="A411" s="107"/>
      <c r="B411" s="107"/>
      <c r="C411" s="239"/>
      <c r="D411" s="107"/>
      <c r="E411" s="107"/>
      <c r="F411" s="107"/>
      <c r="G411" s="107"/>
      <c r="H411" s="107"/>
    </row>
    <row r="412" spans="1:8">
      <c r="A412" s="107"/>
      <c r="B412" s="107" t="s">
        <v>55</v>
      </c>
      <c r="C412" s="139">
        <f>C393+累计利润调整表!B58</f>
        <v>480414.223333299</v>
      </c>
      <c r="D412" s="240">
        <f>C401+C400+C397+C396+累计利润调整表!G28+累计利润调整表!H28+累计利润调整表!I28+累计利润调整表!J28</f>
        <v>480414.216666679</v>
      </c>
      <c r="E412" s="114">
        <f>D412/2</f>
        <v>240207.108333339</v>
      </c>
      <c r="F412" s="107"/>
      <c r="G412" s="107"/>
      <c r="H412" s="107"/>
    </row>
    <row r="413" spans="3:3">
      <c r="C413" s="113"/>
    </row>
    <row r="414" spans="3:3">
      <c r="C414" s="124"/>
    </row>
  </sheetData>
  <autoFilter ref="A50:Y291">
    <extLst/>
  </autoFilter>
  <mergeCells count="1">
    <mergeCell ref="A48:I48"/>
  </mergeCells>
  <conditionalFormatting sqref="D113">
    <cfRule type="containsText" dxfId="0" priority="11" operator="between" text="投顾业务部">
      <formula>NOT(ISERROR(SEARCH("投顾业务部",D113)))</formula>
    </cfRule>
    <cfRule type="containsText" dxfId="1" priority="14" operator="between" text="固定收益投资部">
      <formula>NOT(ISERROR(SEARCH("固定收益投资部",D113)))</formula>
    </cfRule>
    <cfRule type="containsText" dxfId="2" priority="15" operator="between" text="固定收益市场部">
      <formula>NOT(ISERROR(SEARCH("固定收益市场部",D113)))</formula>
    </cfRule>
  </conditionalFormatting>
  <conditionalFormatting sqref="F113">
    <cfRule type="containsText" dxfId="0" priority="10" operator="between" text="投顾业务部">
      <formula>NOT(ISERROR(SEARCH("投顾业务部",F113)))</formula>
    </cfRule>
    <cfRule type="containsText" dxfId="1" priority="12" operator="between" text="固定收益投资部">
      <formula>NOT(ISERROR(SEARCH("固定收益投资部",F113)))</formula>
    </cfRule>
    <cfRule type="containsText" dxfId="2" priority="13" operator="between" text="固定收益市场部">
      <formula>NOT(ISERROR(SEARCH("固定收益市场部",F113)))</formula>
    </cfRule>
  </conditionalFormatting>
  <conditionalFormatting sqref="D293">
    <cfRule type="expression" dxfId="3" priority="111" stopIfTrue="1">
      <formula>LEFT(B130,1)="综"</formula>
    </cfRule>
  </conditionalFormatting>
  <conditionalFormatting sqref="D307">
    <cfRule type="expression" dxfId="3" priority="37" stopIfTrue="1">
      <formula>LEFT(B260,1)="综"</formula>
    </cfRule>
  </conditionalFormatting>
  <conditionalFormatting sqref="D322">
    <cfRule type="expression" dxfId="3" priority="44" stopIfTrue="1">
      <formula>LEFT(B303,1)="综"</formula>
    </cfRule>
  </conditionalFormatting>
  <conditionalFormatting sqref="D335">
    <cfRule type="expression" dxfId="3" priority="31" stopIfTrue="1">
      <formula>LEFT(B306,1)="综"</formula>
    </cfRule>
  </conditionalFormatting>
  <conditionalFormatting sqref="D338">
    <cfRule type="expression" dxfId="3" priority="30" stopIfTrue="1">
      <formula>LEFT(B309,1)="综"</formula>
    </cfRule>
  </conditionalFormatting>
  <conditionalFormatting sqref="D346">
    <cfRule type="expression" dxfId="3" priority="2" stopIfTrue="1">
      <formula>LEFT(B317,1)="综"</formula>
    </cfRule>
  </conditionalFormatting>
  <conditionalFormatting sqref="D106:D111">
    <cfRule type="containsText" dxfId="0" priority="17" operator="between" text="投顾业务部">
      <formula>NOT(ISERROR(SEARCH("投顾业务部",D106)))</formula>
    </cfRule>
    <cfRule type="containsText" dxfId="1" priority="20" operator="between" text="固定收益投资部">
      <formula>NOT(ISERROR(SEARCH("固定收益投资部",D106)))</formula>
    </cfRule>
    <cfRule type="containsText" dxfId="2" priority="21" operator="between" text="固定收益市场部">
      <formula>NOT(ISERROR(SEARCH("固定收益市场部",D106)))</formula>
    </cfRule>
  </conditionalFormatting>
  <conditionalFormatting sqref="D132:D210">
    <cfRule type="expression" dxfId="3" priority="109" stopIfTrue="1">
      <formula>LEFT(B52,1)="综"</formula>
    </cfRule>
  </conditionalFormatting>
  <conditionalFormatting sqref="D212:D290">
    <cfRule type="expression" dxfId="3" priority="108" stopIfTrue="1">
      <formula>LEFT(B52,1)="综"</formula>
    </cfRule>
  </conditionalFormatting>
  <conditionalFormatting sqref="D291:D292">
    <cfRule type="expression" dxfId="3" priority="1" stopIfTrue="1">
      <formula>LEFT(B129,1)="综"</formula>
    </cfRule>
  </conditionalFormatting>
  <conditionalFormatting sqref="D320:D321">
    <cfRule type="expression" dxfId="3" priority="32" stopIfTrue="1">
      <formula>LEFT(B191,1)="综"</formula>
    </cfRule>
  </conditionalFormatting>
  <conditionalFormatting sqref="D323:D325">
    <cfRule type="expression" dxfId="3" priority="42" stopIfTrue="1">
      <formula>LEFT(#REF!,1)="综"</formula>
    </cfRule>
  </conditionalFormatting>
  <conditionalFormatting sqref="D351:D352">
    <cfRule type="expression" dxfId="3" priority="23" stopIfTrue="1">
      <formula>LEFT(B320,1)="综"</formula>
    </cfRule>
  </conditionalFormatting>
  <conditionalFormatting sqref="D356:D358">
    <cfRule type="containsText" dxfId="0" priority="5" operator="between" text="投顾业务部">
      <formula>NOT(ISERROR(SEARCH("投顾业务部",D356)))</formula>
    </cfRule>
    <cfRule type="containsText" dxfId="1" priority="8" operator="between" text="固定收益投资部">
      <formula>NOT(ISERROR(SEARCH("固定收益投资部",D356)))</formula>
    </cfRule>
    <cfRule type="containsText" dxfId="2" priority="9" operator="between" text="固定收益市场部">
      <formula>NOT(ISERROR(SEARCH("固定收益市场部",D356)))</formula>
    </cfRule>
  </conditionalFormatting>
  <conditionalFormatting sqref="D404:D405">
    <cfRule type="containsText" dxfId="0" priority="25" operator="between" text="投顾业务部">
      <formula>NOT(ISERROR(SEARCH("投顾业务部",D404)))</formula>
    </cfRule>
    <cfRule type="containsText" dxfId="1" priority="28" operator="between" text="固定收益投资部">
      <formula>NOT(ISERROR(SEARCH("固定收益投资部",D404)))</formula>
    </cfRule>
    <cfRule type="containsText" dxfId="2" priority="29" operator="between" text="固定收益市场部">
      <formula>NOT(ISERROR(SEARCH("固定收益市场部",D404)))</formula>
    </cfRule>
  </conditionalFormatting>
  <conditionalFormatting sqref="F106:F109">
    <cfRule type="containsText" dxfId="0" priority="16" operator="between" text="投顾业务部">
      <formula>NOT(ISERROR(SEARCH("投顾业务部",F106)))</formula>
    </cfRule>
    <cfRule type="containsText" dxfId="1" priority="18" operator="between" text="固定收益投资部">
      <formula>NOT(ISERROR(SEARCH("固定收益投资部",F106)))</formula>
    </cfRule>
    <cfRule type="containsText" dxfId="2" priority="19" operator="between" text="固定收益市场部">
      <formula>NOT(ISERROR(SEARCH("固定收益市场部",F106)))</formula>
    </cfRule>
  </conditionalFormatting>
  <conditionalFormatting sqref="F356:F358">
    <cfRule type="containsText" dxfId="0" priority="4" operator="between" text="投顾业务部">
      <formula>NOT(ISERROR(SEARCH("投顾业务部",F356)))</formula>
    </cfRule>
    <cfRule type="containsText" dxfId="1" priority="6" operator="between" text="固定收益投资部">
      <formula>NOT(ISERROR(SEARCH("固定收益投资部",F356)))</formula>
    </cfRule>
    <cfRule type="containsText" dxfId="2" priority="7" operator="between" text="固定收益市场部">
      <formula>NOT(ISERROR(SEARCH("固定收益市场部",F356)))</formula>
    </cfRule>
  </conditionalFormatting>
  <conditionalFormatting sqref="F404:F405">
    <cfRule type="containsText" dxfId="0" priority="24" operator="between" text="投顾业务部">
      <formula>NOT(ISERROR(SEARCH("投顾业务部",F404)))</formula>
    </cfRule>
    <cfRule type="containsText" dxfId="1" priority="26" operator="between" text="固定收益投资部">
      <formula>NOT(ISERROR(SEARCH("固定收益投资部",F404)))</formula>
    </cfRule>
    <cfRule type="containsText" dxfId="2" priority="27" operator="between" text="固定收益市场部">
      <formula>NOT(ISERROR(SEARCH("固定收益市场部",F404)))</formula>
    </cfRule>
  </conditionalFormatting>
  <conditionalFormatting sqref="D347 D349">
    <cfRule type="expression" dxfId="3" priority="22" stopIfTrue="1">
      <formula>LEFT(B318,1)="综"</formula>
    </cfRule>
  </conditionalFormatting>
  <dataValidations count="11">
    <dataValidation type="list" allowBlank="1" showInputMessage="1" showErrorMessage="1" sqref="D101 D103:D105 D114:D117 D119:D122 D343:D345 D347:D352 F103:F105 F114:F122 F347:F352">
      <formula1>$K$1:$K$26</formula1>
    </dataValidation>
    <dataValidation type="list" allowBlank="1" showInputMessage="1" showErrorMessage="1" sqref="D55 D356:D358">
      <formula1>$K$1:$K$31</formula1>
    </dataValidation>
    <dataValidation type="list" allowBlank="1" showInputMessage="1" showErrorMessage="1" sqref="D99 F99 D102 F102 D113 F113 D106:D111 D359:D361 F68:F69 F95:F96 F106:F109 F359:F361">
      <formula1>$K$1:$K$25</formula1>
    </dataValidation>
    <dataValidation type="list" allowBlank="1" showInputMessage="1" showErrorMessage="1" sqref="D85 F101 D112 D118 D338 D346 F405 D335:D336 D341:D342 D362:D364 D371:D376 D404:D405 F110:F112 F335:F338 F341:F342 F356:F358 F362:F364 F371:F376">
      <formula1>$K$1:$K$21</formula1>
    </dataValidation>
    <dataValidation type="list" allowBlank="1" showInputMessage="1" showErrorMessage="1" sqref="D68 D81 D83 D337 D396 D401 D60:D62 D73:D74 F82:F85">
      <formula1>$K$1:$K$30</formula1>
    </dataValidation>
    <dataValidation type="list" allowBlank="1" showInputMessage="1" showErrorMessage="1" sqref="F77 D295 F295 F401 D123:D130 D319:D321 D339:D340 D353:D355 F123:F130 F309:F315 F319:F321 F339:F340 F354:F355 F395:F396">
      <formula1>$K$1:$K$24</formula1>
    </dataValidation>
    <dataValidation type="list" allowBlank="1" showInputMessage="1" showErrorMessage="1" sqref="D82 D84 D100 F100 F353 F370 D52:D54 D56:D59 D63:D67 D69:D72 D75:D80 D86:D98 D131:D294 D296:D318 D322:D334 D365:D370 D377:D395 D397:D400 D402:D403 F1:F67 F70:F76 F78:F81 F86:F94 F97:F98 F131:F294 F296:F308 F316:F318 F322:F334 F343:F346 F377:F394 F397:F400 F402:F403 F406:F1048576">
      <formula1>$K$1:$K$29</formula1>
    </dataValidation>
    <dataValidation type="list" allowBlank="1" showInputMessage="1" showErrorMessage="1" sqref="B371 B52:B130 B132:B210 B212:B369 B394:B405 G394:G405">
      <formula1>$I$1:$I$17</formula1>
    </dataValidation>
    <dataValidation type="list" allowBlank="1" showInputMessage="1" showErrorMessage="1" sqref="F404 F365:F369">
      <formula1>$K$1:$K$35</formula1>
    </dataValidation>
    <dataValidation type="list" allowBlank="1" showInputMessage="1" showErrorMessage="1" sqref="E377:E388">
      <formula1>部门名称</formula1>
    </dataValidation>
    <dataValidation type="list" allowBlank="1" showInputMessage="1" showErrorMessage="1" sqref="G212:G364 G371:G376">
      <formula1>$M$1:$M$44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O21"/>
  <sheetViews>
    <sheetView workbookViewId="0">
      <selection activeCell="E29" sqref="E29"/>
    </sheetView>
  </sheetViews>
  <sheetFormatPr defaultColWidth="14" defaultRowHeight="13.5"/>
  <cols>
    <col min="1" max="1" width="17.125" customWidth="1"/>
    <col min="2" max="2" width="16.75" customWidth="1"/>
    <col min="3" max="3" width="15" style="79" customWidth="1"/>
    <col min="4" max="4" width="12.625" style="79" customWidth="1"/>
    <col min="5" max="5" width="19.375" style="79" customWidth="1"/>
    <col min="6" max="7" width="16.875" style="79" customWidth="1"/>
    <col min="8" max="10" width="15.125" style="79" customWidth="1"/>
    <col min="11" max="11" width="15" style="79" customWidth="1"/>
    <col min="12" max="12" width="14.875" style="79" customWidth="1"/>
    <col min="13" max="13" width="16.75" style="79" customWidth="1"/>
    <col min="14" max="14" width="15.875" customWidth="1"/>
    <col min="15" max="15" width="16.625" customWidth="1"/>
    <col min="16" max="16" width="12.75" customWidth="1"/>
  </cols>
  <sheetData>
    <row r="1" ht="21.75" spans="1:14">
      <c r="A1" s="80" t="s">
        <v>525</v>
      </c>
      <c r="B1" s="80" t="s">
        <v>525</v>
      </c>
      <c r="C1" s="80" t="s">
        <v>525</v>
      </c>
      <c r="D1" s="80" t="s">
        <v>525</v>
      </c>
      <c r="E1" s="80" t="s">
        <v>525</v>
      </c>
      <c r="F1" s="80" t="s">
        <v>525</v>
      </c>
      <c r="G1" s="80" t="s">
        <v>525</v>
      </c>
      <c r="H1" s="80" t="s">
        <v>525</v>
      </c>
      <c r="I1" s="80" t="s">
        <v>525</v>
      </c>
      <c r="J1" s="80" t="s">
        <v>525</v>
      </c>
      <c r="K1" s="80" t="s">
        <v>525</v>
      </c>
      <c r="L1" s="80" t="s">
        <v>525</v>
      </c>
      <c r="M1" s="80" t="s">
        <v>525</v>
      </c>
      <c r="N1" s="82"/>
    </row>
    <row r="2" ht="17.25" spans="1:14">
      <c r="A2" s="81">
        <v>43100</v>
      </c>
      <c r="B2" s="82"/>
      <c r="C2" s="83">
        <v>0.052</v>
      </c>
      <c r="D2" s="82"/>
      <c r="E2" s="82"/>
      <c r="F2" s="82"/>
      <c r="G2" s="82"/>
      <c r="H2" s="82"/>
      <c r="I2" s="82"/>
      <c r="J2" s="82"/>
      <c r="K2" s="82"/>
      <c r="L2" s="82"/>
      <c r="M2" s="95"/>
      <c r="N2" s="82"/>
    </row>
    <row r="3" ht="15.75" spans="1:15">
      <c r="A3" s="84" t="s">
        <v>3</v>
      </c>
      <c r="B3" s="84" t="s">
        <v>15</v>
      </c>
      <c r="C3" s="84" t="s">
        <v>14</v>
      </c>
      <c r="D3" s="84" t="s">
        <v>11</v>
      </c>
      <c r="E3" s="84" t="s">
        <v>7</v>
      </c>
      <c r="F3" s="84" t="s">
        <v>168</v>
      </c>
      <c r="G3" s="84" t="s">
        <v>19</v>
      </c>
      <c r="H3" s="84" t="s">
        <v>12</v>
      </c>
      <c r="I3" s="84" t="s">
        <v>10</v>
      </c>
      <c r="J3" s="84" t="s">
        <v>16</v>
      </c>
      <c r="K3" s="84" t="s">
        <v>526</v>
      </c>
      <c r="L3" s="84" t="s">
        <v>17</v>
      </c>
      <c r="M3" s="84" t="s">
        <v>9</v>
      </c>
      <c r="N3" s="84" t="s">
        <v>18</v>
      </c>
      <c r="O3" s="84" t="s">
        <v>4</v>
      </c>
    </row>
    <row r="4" ht="17.25" spans="1:15">
      <c r="A4" s="85" t="s">
        <v>527</v>
      </c>
      <c r="B4" s="86">
        <v>770000000</v>
      </c>
      <c r="C4" s="86">
        <v>750000000</v>
      </c>
      <c r="D4" s="86">
        <v>92077915.86</v>
      </c>
      <c r="E4" s="86">
        <f>5560446465.75-F4</f>
        <v>4684031506.85</v>
      </c>
      <c r="F4" s="86">
        <v>876414958.9</v>
      </c>
      <c r="G4" s="86">
        <v>51417295.74</v>
      </c>
      <c r="H4" s="86">
        <v>192012965.43</v>
      </c>
      <c r="I4" s="86">
        <v>713703074.38</v>
      </c>
      <c r="J4" s="86">
        <v>16624582.19</v>
      </c>
      <c r="K4" s="86"/>
      <c r="L4" s="86">
        <v>1624442362.19</v>
      </c>
      <c r="M4" s="86">
        <v>4188377.45</v>
      </c>
      <c r="N4" s="86">
        <v>306967983.76</v>
      </c>
      <c r="O4" s="86">
        <f>SUM(B4:N4)</f>
        <v>10081881022.75</v>
      </c>
    </row>
    <row r="5" ht="17.25" spans="1:15">
      <c r="A5" s="85" t="s">
        <v>528</v>
      </c>
      <c r="B5" s="86">
        <v>2160292.49</v>
      </c>
      <c r="C5" s="86">
        <v>2160292.5</v>
      </c>
      <c r="D5" s="86">
        <v>600000</v>
      </c>
      <c r="E5" s="86">
        <v>7918070.8</v>
      </c>
      <c r="F5" s="86"/>
      <c r="G5" s="86"/>
      <c r="H5" s="86"/>
      <c r="I5" s="86">
        <v>1800000</v>
      </c>
      <c r="J5" s="86"/>
      <c r="K5" s="86">
        <v>1462192.49</v>
      </c>
      <c r="L5" s="86">
        <v>902441.27</v>
      </c>
      <c r="M5" s="86">
        <v>4872328.77</v>
      </c>
      <c r="N5" s="86">
        <v>200000</v>
      </c>
      <c r="O5" s="86">
        <f t="shared" ref="O5:O10" si="0">SUM(B5:N5)</f>
        <v>22075618.32</v>
      </c>
    </row>
    <row r="6" ht="17.25" spans="1:15">
      <c r="A6" s="85" t="s">
        <v>529</v>
      </c>
      <c r="B6" s="86"/>
      <c r="C6" s="86"/>
      <c r="D6" s="86"/>
      <c r="E6" s="86">
        <v>1305240.48</v>
      </c>
      <c r="F6" s="86"/>
      <c r="G6" s="86"/>
      <c r="H6" s="86"/>
      <c r="I6" s="86"/>
      <c r="J6" s="86"/>
      <c r="K6" s="86"/>
      <c r="L6" s="86"/>
      <c r="M6" s="86"/>
      <c r="N6" s="86">
        <v>127100.78</v>
      </c>
      <c r="O6" s="86">
        <f t="shared" si="0"/>
        <v>1432341.26</v>
      </c>
    </row>
    <row r="7" ht="17.25" spans="1:15">
      <c r="A7" s="85" t="s">
        <v>530</v>
      </c>
      <c r="B7" s="86">
        <v>15778815.93</v>
      </c>
      <c r="C7" s="86">
        <v>15778815.93</v>
      </c>
      <c r="D7" s="86"/>
      <c r="E7" s="86">
        <v>284.18</v>
      </c>
      <c r="F7" s="86"/>
      <c r="G7" s="86">
        <v>1583445.49</v>
      </c>
      <c r="H7" s="86">
        <v>7358947.16</v>
      </c>
      <c r="I7" s="86"/>
      <c r="J7" s="86"/>
      <c r="K7" s="86"/>
      <c r="L7" s="86">
        <v>59259444.58</v>
      </c>
      <c r="M7" s="86"/>
      <c r="N7" s="86"/>
      <c r="O7" s="86">
        <f t="shared" si="0"/>
        <v>99759753.27</v>
      </c>
    </row>
    <row r="8" ht="17.25" spans="1:15">
      <c r="A8" s="85" t="s">
        <v>531</v>
      </c>
      <c r="B8" s="86">
        <v>1091715.14</v>
      </c>
      <c r="C8" s="86">
        <v>1091715.14</v>
      </c>
      <c r="D8" s="86"/>
      <c r="E8" s="86">
        <v>19.66</v>
      </c>
      <c r="F8" s="86"/>
      <c r="G8" s="86">
        <v>109556.47</v>
      </c>
      <c r="H8" s="86">
        <v>509155.7</v>
      </c>
      <c r="I8" s="86"/>
      <c r="J8" s="86"/>
      <c r="K8" s="86"/>
      <c r="L8" s="86">
        <v>4100081.6</v>
      </c>
      <c r="M8" s="86"/>
      <c r="N8" s="86"/>
      <c r="O8" s="86">
        <f t="shared" si="0"/>
        <v>6902243.71</v>
      </c>
    </row>
    <row r="9" ht="17.25" spans="1:15">
      <c r="A9" s="85" t="s">
        <v>4</v>
      </c>
      <c r="B9" s="86">
        <f>SUM(B4:B8)</f>
        <v>789030823.56</v>
      </c>
      <c r="C9" s="86">
        <f t="shared" ref="C9:N9" si="1">SUM(C4:C8)</f>
        <v>769030823.57</v>
      </c>
      <c r="D9" s="86">
        <f t="shared" si="1"/>
        <v>92677915.86</v>
      </c>
      <c r="E9" s="86">
        <f t="shared" si="1"/>
        <v>4693255121.97</v>
      </c>
      <c r="F9" s="86">
        <f t="shared" si="1"/>
        <v>876414958.9</v>
      </c>
      <c r="G9" s="86">
        <f t="shared" si="1"/>
        <v>53110297.7</v>
      </c>
      <c r="H9" s="86">
        <f t="shared" si="1"/>
        <v>199881068.29</v>
      </c>
      <c r="I9" s="86">
        <f t="shared" si="1"/>
        <v>715503074.38</v>
      </c>
      <c r="J9" s="86">
        <f t="shared" si="1"/>
        <v>16624582.19</v>
      </c>
      <c r="K9" s="86">
        <f t="shared" si="1"/>
        <v>1462192.49</v>
      </c>
      <c r="L9" s="86">
        <f t="shared" si="1"/>
        <v>1688704329.64</v>
      </c>
      <c r="M9" s="86">
        <f t="shared" si="1"/>
        <v>9060706.22</v>
      </c>
      <c r="N9" s="86">
        <f t="shared" si="1"/>
        <v>307295084.54</v>
      </c>
      <c r="O9" s="86">
        <f t="shared" si="0"/>
        <v>10212050979.31</v>
      </c>
    </row>
    <row r="10" ht="17.25" spans="1:15">
      <c r="A10" s="87" t="s">
        <v>532</v>
      </c>
      <c r="B10" s="88">
        <f>B9*$C$2</f>
        <v>41029602.82512</v>
      </c>
      <c r="C10" s="88">
        <f t="shared" ref="C10:H10" si="2">C9*$C$2</f>
        <v>39989602.82564</v>
      </c>
      <c r="D10" s="88">
        <f t="shared" si="2"/>
        <v>4819251.62472</v>
      </c>
      <c r="E10" s="88">
        <f t="shared" si="2"/>
        <v>244049266.34244</v>
      </c>
      <c r="F10" s="88">
        <f t="shared" si="2"/>
        <v>45573577.8628</v>
      </c>
      <c r="G10" s="88">
        <f t="shared" si="2"/>
        <v>2761735.4804</v>
      </c>
      <c r="H10" s="88">
        <f t="shared" si="2"/>
        <v>10393815.55108</v>
      </c>
      <c r="I10" s="88">
        <f t="shared" ref="I10:N10" si="3">I9*$C$2</f>
        <v>37206159.86776</v>
      </c>
      <c r="J10" s="88">
        <f t="shared" si="3"/>
        <v>864478.27388</v>
      </c>
      <c r="K10" s="88">
        <f t="shared" si="3"/>
        <v>76034.00948</v>
      </c>
      <c r="L10" s="88">
        <f t="shared" si="3"/>
        <v>87812625.14128</v>
      </c>
      <c r="M10" s="88">
        <f t="shared" si="3"/>
        <v>471156.72344</v>
      </c>
      <c r="N10" s="88">
        <f t="shared" si="3"/>
        <v>15979344.39608</v>
      </c>
      <c r="O10" s="88">
        <f t="shared" si="0"/>
        <v>531026650.92412</v>
      </c>
    </row>
    <row r="11" ht="17.25" spans="1:15">
      <c r="A11" s="89" t="s">
        <v>533</v>
      </c>
      <c r="B11" s="90">
        <v>-3670200.66000009</v>
      </c>
      <c r="C11" s="90">
        <v>-3670200.68000007</v>
      </c>
      <c r="D11" s="90">
        <v>0</v>
      </c>
      <c r="E11" s="90">
        <v>-876415025.009999</v>
      </c>
      <c r="F11" s="90">
        <v>876414958.9</v>
      </c>
      <c r="G11" s="90">
        <v>-368314.25</v>
      </c>
      <c r="H11" s="90">
        <v>-1711713.53000003</v>
      </c>
      <c r="I11" s="90">
        <v>0</v>
      </c>
      <c r="J11" s="90">
        <v>0</v>
      </c>
      <c r="K11" s="90">
        <v>0</v>
      </c>
      <c r="L11" s="90">
        <v>-13783927.3800004</v>
      </c>
      <c r="M11" s="90">
        <v>0</v>
      </c>
      <c r="N11" s="90">
        <v>-27807.2099999785</v>
      </c>
      <c r="O11" s="90">
        <v>-23232229.8199997</v>
      </c>
    </row>
    <row r="12" ht="17.25" spans="1:15">
      <c r="A12" s="89" t="s">
        <v>534</v>
      </c>
      <c r="B12" s="90">
        <v>-190850.434320003</v>
      </c>
      <c r="C12" s="90">
        <v>-190850.435360007</v>
      </c>
      <c r="D12" s="90">
        <v>0</v>
      </c>
      <c r="E12" s="90">
        <v>-45573581.3005199</v>
      </c>
      <c r="F12" s="90">
        <v>45573577.8628</v>
      </c>
      <c r="G12" s="90">
        <v>-19152.341</v>
      </c>
      <c r="H12" s="90">
        <v>-89009.1035600007</v>
      </c>
      <c r="I12" s="90">
        <v>0</v>
      </c>
      <c r="J12" s="90">
        <v>0</v>
      </c>
      <c r="K12" s="90">
        <v>0</v>
      </c>
      <c r="L12" s="90">
        <v>-716764.223760009</v>
      </c>
      <c r="M12" s="90">
        <v>0</v>
      </c>
      <c r="N12" s="90">
        <v>-1445.97491999902</v>
      </c>
      <c r="O12" s="90">
        <v>-1208075.95063984</v>
      </c>
    </row>
    <row r="13" spans="3:13">
      <c r="C13"/>
      <c r="D13"/>
      <c r="E13"/>
      <c r="F13"/>
      <c r="G13"/>
      <c r="H13"/>
      <c r="I13"/>
      <c r="J13"/>
      <c r="K13"/>
      <c r="L13"/>
      <c r="M13"/>
    </row>
    <row r="14" spans="3:13">
      <c r="C14"/>
      <c r="D14"/>
      <c r="E14"/>
      <c r="F14"/>
      <c r="G14"/>
      <c r="H14"/>
      <c r="I14"/>
      <c r="J14"/>
      <c r="K14"/>
      <c r="L14"/>
      <c r="M14"/>
    </row>
    <row r="15" spans="1:15">
      <c r="A15" s="91" t="s">
        <v>535</v>
      </c>
      <c r="B15">
        <f>HLOOKUP(B3,累计利润调整表!64:91,2,0)</f>
        <v>38011312.013</v>
      </c>
      <c r="C15">
        <f>HLOOKUP(C3,累计利润调整表!64:91,2,0)</f>
        <v>56656912.31</v>
      </c>
      <c r="D15">
        <f>HLOOKUP(D3,累计利润调整表!64:91,2,0)</f>
        <v>16162182.79</v>
      </c>
      <c r="E15">
        <f>HLOOKUP(E3,累计利润调整表!64:91,2,0)</f>
        <v>998487404.896566</v>
      </c>
      <c r="F15" t="e">
        <f>HLOOKUP(F3,累计利润调整表!64:91,2,0)</f>
        <v>#N/A</v>
      </c>
      <c r="G15">
        <f>HLOOKUP(G3,累计利润调整表!64:91,2,0)</f>
        <v>3232273.25</v>
      </c>
      <c r="H15">
        <f>HLOOKUP(H3,累计利润调整表!64:91,2,0)</f>
        <v>-7359659.04</v>
      </c>
      <c r="I15">
        <f>HLOOKUP(I3,累计利润调整表!64:91,2,0)</f>
        <v>-262895532.170566</v>
      </c>
      <c r="J15">
        <f>HLOOKUP(J3,累计利润调整表!64:91,2,0)</f>
        <v>5574989.15</v>
      </c>
      <c r="K15" t="e">
        <f>HLOOKUP(K3,累计利润调整表!64:91,2,0)</f>
        <v>#N/A</v>
      </c>
      <c r="L15">
        <f>HLOOKUP(L3,累计利润调整表!64:91,2,0)</f>
        <v>84139739.17</v>
      </c>
      <c r="M15">
        <f>HLOOKUP(M3,累计利润调整表!64:91,2,0)</f>
        <v>23617606.2953207</v>
      </c>
      <c r="N15">
        <f>HLOOKUP(N3,累计利润调整表!64:91,2,0)</f>
        <v>27892801.95</v>
      </c>
      <c r="O15">
        <f>HLOOKUP(O3,累计利润调整表!64:91,2,0)</f>
        <v>1043599751.62</v>
      </c>
    </row>
    <row r="16" spans="1:15">
      <c r="A16" s="91" t="s">
        <v>536</v>
      </c>
      <c r="B16" s="92">
        <f>B15/B9</f>
        <v>0.048174685801878</v>
      </c>
      <c r="C16" s="92">
        <f t="shared" ref="C16:O16" si="4">C15/C9</f>
        <v>0.0736731358139677</v>
      </c>
      <c r="D16" s="92">
        <f t="shared" si="4"/>
        <v>0.174390874460478</v>
      </c>
      <c r="E16" s="92">
        <f t="shared" si="4"/>
        <v>0.212749441261452</v>
      </c>
      <c r="F16" s="92" t="e">
        <f t="shared" si="4"/>
        <v>#N/A</v>
      </c>
      <c r="G16" s="92">
        <f t="shared" si="4"/>
        <v>0.0608596334416706</v>
      </c>
      <c r="H16" s="92">
        <f t="shared" si="4"/>
        <v>-0.0368201906411774</v>
      </c>
      <c r="I16" s="92">
        <f t="shared" si="4"/>
        <v>-0.367427536769665</v>
      </c>
      <c r="J16" s="92">
        <f t="shared" si="4"/>
        <v>0.335346120960168</v>
      </c>
      <c r="K16" s="92" t="e">
        <f t="shared" si="4"/>
        <v>#N/A</v>
      </c>
      <c r="L16" s="92">
        <f t="shared" si="4"/>
        <v>0.0498250272076563</v>
      </c>
      <c r="M16" s="92">
        <f t="shared" si="4"/>
        <v>2.6065966296522</v>
      </c>
      <c r="N16" s="92">
        <f t="shared" si="4"/>
        <v>0.0907687865940116</v>
      </c>
      <c r="O16" s="92">
        <f t="shared" si="4"/>
        <v>0.102192963365966</v>
      </c>
    </row>
    <row r="18" spans="1:1">
      <c r="A18" s="91" t="s">
        <v>537</v>
      </c>
    </row>
    <row r="19" spans="5:10">
      <c r="E19" s="79">
        <f>H15+I15+L15</f>
        <v>-186115452.040566</v>
      </c>
      <c r="I19" s="79">
        <f>I9*13%</f>
        <v>93015399.6694</v>
      </c>
      <c r="J19" s="93">
        <f>J9+B9+C9+D9</f>
        <v>1667364145.18</v>
      </c>
    </row>
    <row r="20" spans="5:9">
      <c r="E20" s="93">
        <f>H9+I9+L9</f>
        <v>2604088472.31</v>
      </c>
      <c r="I20" s="79">
        <f>I9*0.052</f>
        <v>37206159.86776</v>
      </c>
    </row>
    <row r="21" spans="5:5">
      <c r="E21" s="94">
        <f>E19/E20</f>
        <v>-0.0714704796014358</v>
      </c>
    </row>
  </sheetData>
  <mergeCells count="1">
    <mergeCell ref="A1:M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1">
      <c r="A1" t="s">
        <v>538</v>
      </c>
    </row>
    <row r="2" spans="1:1">
      <c r="A2" t="s">
        <v>539</v>
      </c>
    </row>
    <row r="3" spans="1:1">
      <c r="A3" t="s">
        <v>540</v>
      </c>
    </row>
    <row r="4" spans="1:1">
      <c r="A4" t="s">
        <v>541</v>
      </c>
    </row>
    <row r="5" spans="1:1">
      <c r="A5" t="s">
        <v>542</v>
      </c>
    </row>
    <row r="6" spans="1:1">
      <c r="A6" t="s">
        <v>543</v>
      </c>
    </row>
    <row r="7" spans="1:1">
      <c r="A7" t="s">
        <v>544</v>
      </c>
    </row>
    <row r="8" spans="1:1">
      <c r="A8" t="s">
        <v>538</v>
      </c>
    </row>
    <row r="9" spans="1:1">
      <c r="A9" t="s">
        <v>539</v>
      </c>
    </row>
    <row r="10" spans="1:1">
      <c r="A10" t="s">
        <v>540</v>
      </c>
    </row>
    <row r="11" spans="1:1">
      <c r="A11" t="s">
        <v>541</v>
      </c>
    </row>
    <row r="12" spans="1:1">
      <c r="A12" t="s">
        <v>542</v>
      </c>
    </row>
    <row r="13" spans="1:1">
      <c r="A13" t="s">
        <v>543</v>
      </c>
    </row>
    <row r="14" spans="1:1">
      <c r="A14" t="s">
        <v>544</v>
      </c>
    </row>
    <row r="15" spans="1:8">
      <c r="A15">
        <v>1</v>
      </c>
      <c r="B15" t="s">
        <v>545</v>
      </c>
      <c r="C15">
        <v>13.858</v>
      </c>
      <c r="D15">
        <v>11.4</v>
      </c>
      <c r="E15">
        <v>43</v>
      </c>
      <c r="F15" t="s">
        <v>546</v>
      </c>
      <c r="G15">
        <v>0.26</v>
      </c>
      <c r="H15">
        <v>0.247</v>
      </c>
    </row>
    <row r="16" spans="1:8">
      <c r="A16">
        <v>2</v>
      </c>
      <c r="B16" t="s">
        <v>547</v>
      </c>
      <c r="C16">
        <v>10.355</v>
      </c>
      <c r="D16">
        <v>10.402</v>
      </c>
      <c r="E16">
        <v>44</v>
      </c>
      <c r="F16" t="s">
        <v>548</v>
      </c>
      <c r="G16">
        <v>0.251</v>
      </c>
      <c r="H16">
        <v>0.128</v>
      </c>
    </row>
    <row r="17" spans="1:8">
      <c r="A17">
        <v>3</v>
      </c>
      <c r="B17" t="s">
        <v>549</v>
      </c>
      <c r="C17">
        <v>3.294</v>
      </c>
      <c r="D17">
        <v>4.771</v>
      </c>
      <c r="E17">
        <v>45</v>
      </c>
      <c r="F17" t="s">
        <v>550</v>
      </c>
      <c r="G17">
        <v>0.24</v>
      </c>
      <c r="H17">
        <v>0.238</v>
      </c>
    </row>
    <row r="18" spans="1:8">
      <c r="A18">
        <v>4</v>
      </c>
      <c r="B18" t="s">
        <v>551</v>
      </c>
      <c r="C18">
        <v>3.528</v>
      </c>
      <c r="D18">
        <v>4.477</v>
      </c>
      <c r="E18">
        <v>46</v>
      </c>
      <c r="F18" t="s">
        <v>552</v>
      </c>
      <c r="G18">
        <v>0.221</v>
      </c>
      <c r="H18">
        <v>0.237</v>
      </c>
    </row>
    <row r="19" spans="1:8">
      <c r="A19">
        <v>5</v>
      </c>
      <c r="B19" t="s">
        <v>553</v>
      </c>
      <c r="C19">
        <v>4.574</v>
      </c>
      <c r="D19">
        <v>4.205</v>
      </c>
      <c r="E19">
        <v>47</v>
      </c>
      <c r="F19" t="s">
        <v>554</v>
      </c>
      <c r="G19">
        <v>0.218</v>
      </c>
      <c r="H19">
        <v>0.202</v>
      </c>
    </row>
    <row r="20" spans="1:8">
      <c r="A20">
        <v>6</v>
      </c>
      <c r="B20" t="s">
        <v>555</v>
      </c>
      <c r="C20">
        <v>2.764</v>
      </c>
      <c r="D20">
        <v>3.579</v>
      </c>
      <c r="E20">
        <v>48</v>
      </c>
      <c r="F20" t="s">
        <v>270</v>
      </c>
      <c r="G20">
        <v>0.208</v>
      </c>
      <c r="H20">
        <v>0.312</v>
      </c>
    </row>
    <row r="21" spans="1:8">
      <c r="A21">
        <v>7</v>
      </c>
      <c r="B21" t="s">
        <v>556</v>
      </c>
      <c r="C21">
        <v>3.75</v>
      </c>
      <c r="D21">
        <v>3.547</v>
      </c>
      <c r="E21">
        <v>49</v>
      </c>
      <c r="F21" t="s">
        <v>557</v>
      </c>
      <c r="G21">
        <v>0.203</v>
      </c>
      <c r="H21">
        <v>0.118</v>
      </c>
    </row>
    <row r="22" spans="1:8">
      <c r="A22">
        <v>8</v>
      </c>
      <c r="B22" t="s">
        <v>558</v>
      </c>
      <c r="C22">
        <v>2.393</v>
      </c>
      <c r="D22">
        <v>3.34</v>
      </c>
      <c r="E22">
        <v>50</v>
      </c>
      <c r="F22" t="s">
        <v>559</v>
      </c>
      <c r="G22">
        <v>0.181</v>
      </c>
      <c r="H22">
        <v>0.352</v>
      </c>
    </row>
    <row r="23" spans="1:8">
      <c r="A23">
        <v>9</v>
      </c>
      <c r="B23" t="s">
        <v>560</v>
      </c>
      <c r="C23">
        <v>2.834</v>
      </c>
      <c r="D23">
        <v>3.031</v>
      </c>
      <c r="E23">
        <v>51</v>
      </c>
      <c r="F23" t="s">
        <v>561</v>
      </c>
      <c r="G23">
        <v>0.176</v>
      </c>
      <c r="H23">
        <v>0.415</v>
      </c>
    </row>
    <row r="24" ht="12.75" customHeight="1" spans="1:8">
      <c r="A24">
        <v>10</v>
      </c>
      <c r="B24" t="s">
        <v>562</v>
      </c>
      <c r="C24">
        <v>2.952</v>
      </c>
      <c r="D24">
        <v>3.001</v>
      </c>
      <c r="E24">
        <v>52</v>
      </c>
      <c r="F24" t="s">
        <v>563</v>
      </c>
      <c r="G24">
        <v>0.175</v>
      </c>
      <c r="H24">
        <v>0.157</v>
      </c>
    </row>
    <row r="25" spans="1:8">
      <c r="A25">
        <v>11</v>
      </c>
      <c r="B25" t="s">
        <v>564</v>
      </c>
      <c r="C25">
        <v>2.411</v>
      </c>
      <c r="D25">
        <v>2.999</v>
      </c>
      <c r="E25">
        <v>53</v>
      </c>
      <c r="F25" t="s">
        <v>565</v>
      </c>
      <c r="G25">
        <v>0.158</v>
      </c>
      <c r="H25">
        <v>0.073</v>
      </c>
    </row>
    <row r="26" spans="1:8">
      <c r="A26">
        <v>12</v>
      </c>
      <c r="B26" t="s">
        <v>566</v>
      </c>
      <c r="C26">
        <v>2.782</v>
      </c>
      <c r="D26">
        <v>2.516</v>
      </c>
      <c r="E26">
        <v>54</v>
      </c>
      <c r="F26" t="s">
        <v>567</v>
      </c>
      <c r="G26">
        <v>0.148</v>
      </c>
      <c r="H26">
        <v>0.086</v>
      </c>
    </row>
    <row r="27" spans="1:8">
      <c r="A27">
        <v>13</v>
      </c>
      <c r="B27" t="s">
        <v>568</v>
      </c>
      <c r="C27">
        <v>2.904</v>
      </c>
      <c r="D27">
        <v>2.402</v>
      </c>
      <c r="E27">
        <v>55</v>
      </c>
      <c r="F27" t="s">
        <v>569</v>
      </c>
      <c r="G27">
        <v>0.14</v>
      </c>
      <c r="H27">
        <v>0.238</v>
      </c>
    </row>
    <row r="28" spans="1:8">
      <c r="A28">
        <v>14</v>
      </c>
      <c r="B28" t="s">
        <v>570</v>
      </c>
      <c r="C28">
        <v>1.146</v>
      </c>
      <c r="D28">
        <v>1.873</v>
      </c>
      <c r="E28">
        <v>56</v>
      </c>
      <c r="F28" t="s">
        <v>571</v>
      </c>
      <c r="G28">
        <v>0.13</v>
      </c>
      <c r="H28">
        <v>0.089</v>
      </c>
    </row>
    <row r="29" spans="1:8">
      <c r="A29">
        <v>15</v>
      </c>
      <c r="B29" t="s">
        <v>572</v>
      </c>
      <c r="C29">
        <v>1.833</v>
      </c>
      <c r="D29">
        <v>1.829</v>
      </c>
      <c r="E29">
        <v>57</v>
      </c>
      <c r="F29" t="s">
        <v>573</v>
      </c>
      <c r="G29">
        <v>0.12</v>
      </c>
      <c r="H29">
        <v>0.104</v>
      </c>
    </row>
    <row r="30" spans="1:8">
      <c r="A30">
        <v>16</v>
      </c>
      <c r="B30" t="s">
        <v>574</v>
      </c>
      <c r="C30">
        <v>1.507</v>
      </c>
      <c r="D30">
        <v>1.594</v>
      </c>
      <c r="E30">
        <v>58</v>
      </c>
      <c r="F30" t="s">
        <v>575</v>
      </c>
      <c r="G30">
        <v>0.112</v>
      </c>
      <c r="H30">
        <v>0.157</v>
      </c>
    </row>
    <row r="31" spans="1:8">
      <c r="A31">
        <v>17</v>
      </c>
      <c r="B31" t="s">
        <v>576</v>
      </c>
      <c r="C31">
        <v>1.407</v>
      </c>
      <c r="D31">
        <v>1.534</v>
      </c>
      <c r="E31">
        <v>59</v>
      </c>
      <c r="F31" t="s">
        <v>577</v>
      </c>
      <c r="G31">
        <v>0.107</v>
      </c>
      <c r="H31">
        <v>0.101</v>
      </c>
    </row>
    <row r="32" spans="1:8">
      <c r="A32">
        <v>18</v>
      </c>
      <c r="B32" t="s">
        <v>578</v>
      </c>
      <c r="C32">
        <v>1.264</v>
      </c>
      <c r="D32">
        <v>1.49</v>
      </c>
      <c r="E32">
        <v>60</v>
      </c>
      <c r="F32" t="s">
        <v>579</v>
      </c>
      <c r="G32">
        <v>0.102</v>
      </c>
      <c r="H32">
        <v>0.099</v>
      </c>
    </row>
    <row r="33" spans="1:8">
      <c r="A33">
        <v>19</v>
      </c>
      <c r="B33" t="s">
        <v>580</v>
      </c>
      <c r="C33">
        <v>1.099</v>
      </c>
      <c r="D33">
        <v>1.171</v>
      </c>
      <c r="E33">
        <v>61</v>
      </c>
      <c r="F33" t="s">
        <v>581</v>
      </c>
      <c r="G33">
        <v>0.099</v>
      </c>
      <c r="H33">
        <v>0.068</v>
      </c>
    </row>
    <row r="34" spans="1:8">
      <c r="A34">
        <v>20</v>
      </c>
      <c r="B34" t="s">
        <v>582</v>
      </c>
      <c r="C34">
        <v>0.739</v>
      </c>
      <c r="D34">
        <v>0.991</v>
      </c>
      <c r="E34">
        <v>62</v>
      </c>
      <c r="F34" t="s">
        <v>583</v>
      </c>
      <c r="G34">
        <v>0.093</v>
      </c>
      <c r="H34">
        <v>0.11</v>
      </c>
    </row>
    <row r="35" spans="1:8">
      <c r="A35">
        <v>21</v>
      </c>
      <c r="B35" t="s">
        <v>584</v>
      </c>
      <c r="C35">
        <v>0.738</v>
      </c>
      <c r="D35">
        <v>0.979</v>
      </c>
      <c r="E35">
        <v>63</v>
      </c>
      <c r="F35" t="s">
        <v>585</v>
      </c>
      <c r="G35">
        <v>0.07</v>
      </c>
      <c r="H35">
        <v>0.117</v>
      </c>
    </row>
    <row r="36" spans="1:8">
      <c r="A36">
        <v>22</v>
      </c>
      <c r="B36" t="s">
        <v>586</v>
      </c>
      <c r="C36">
        <v>1.202</v>
      </c>
      <c r="D36">
        <v>0.921</v>
      </c>
      <c r="E36">
        <v>64</v>
      </c>
      <c r="F36" t="s">
        <v>587</v>
      </c>
      <c r="G36">
        <v>0.063</v>
      </c>
      <c r="H36">
        <v>0.033</v>
      </c>
    </row>
    <row r="37" spans="1:8">
      <c r="A37">
        <v>23</v>
      </c>
      <c r="B37" t="s">
        <v>588</v>
      </c>
      <c r="C37">
        <v>1.314</v>
      </c>
      <c r="D37">
        <v>0.888</v>
      </c>
      <c r="E37">
        <v>65</v>
      </c>
      <c r="F37" t="s">
        <v>589</v>
      </c>
      <c r="G37">
        <v>0.057</v>
      </c>
      <c r="H37">
        <v>0.056</v>
      </c>
    </row>
    <row r="38" spans="1:8">
      <c r="A38">
        <v>24</v>
      </c>
      <c r="B38" t="s">
        <v>590</v>
      </c>
      <c r="C38">
        <v>0.818</v>
      </c>
      <c r="D38">
        <v>0.828</v>
      </c>
      <c r="E38">
        <v>66</v>
      </c>
      <c r="F38" t="s">
        <v>591</v>
      </c>
      <c r="G38">
        <v>0.049</v>
      </c>
      <c r="H38">
        <v>0.073</v>
      </c>
    </row>
    <row r="39" spans="1:8">
      <c r="A39">
        <v>25</v>
      </c>
      <c r="B39" t="s">
        <v>592</v>
      </c>
      <c r="C39">
        <v>0.721</v>
      </c>
      <c r="D39">
        <v>0.823</v>
      </c>
      <c r="E39">
        <v>67</v>
      </c>
      <c r="F39" t="s">
        <v>593</v>
      </c>
      <c r="G39">
        <v>0.045</v>
      </c>
      <c r="H39">
        <v>0.047</v>
      </c>
    </row>
    <row r="40" spans="1:8">
      <c r="A40">
        <v>26</v>
      </c>
      <c r="B40" t="s">
        <v>594</v>
      </c>
      <c r="C40">
        <v>0.86</v>
      </c>
      <c r="D40">
        <v>0.735</v>
      </c>
      <c r="E40">
        <v>68</v>
      </c>
      <c r="F40" t="s">
        <v>595</v>
      </c>
      <c r="G40">
        <v>0.041</v>
      </c>
      <c r="H40">
        <v>0.015</v>
      </c>
    </row>
    <row r="41" spans="1:8">
      <c r="A41">
        <v>27</v>
      </c>
      <c r="B41" t="s">
        <v>596</v>
      </c>
      <c r="C41">
        <v>0.498</v>
      </c>
      <c r="D41">
        <v>0.724</v>
      </c>
      <c r="E41">
        <v>69</v>
      </c>
      <c r="F41" t="s">
        <v>597</v>
      </c>
      <c r="G41">
        <v>0.035</v>
      </c>
      <c r="H41">
        <v>0.102</v>
      </c>
    </row>
    <row r="42" spans="1:8">
      <c r="A42">
        <v>28</v>
      </c>
      <c r="B42" t="s">
        <v>598</v>
      </c>
      <c r="C42">
        <v>0.494</v>
      </c>
      <c r="D42">
        <v>0.638</v>
      </c>
      <c r="E42">
        <v>70</v>
      </c>
      <c r="F42" t="s">
        <v>599</v>
      </c>
      <c r="G42">
        <v>0.034</v>
      </c>
      <c r="H42">
        <v>0.032</v>
      </c>
    </row>
    <row r="43" spans="1:8">
      <c r="A43">
        <v>29</v>
      </c>
      <c r="B43" t="s">
        <v>600</v>
      </c>
      <c r="C43">
        <v>0.761</v>
      </c>
      <c r="D43">
        <v>0.563</v>
      </c>
      <c r="E43">
        <v>71</v>
      </c>
      <c r="F43" t="s">
        <v>601</v>
      </c>
      <c r="G43">
        <v>0.034</v>
      </c>
      <c r="H43">
        <v>0.027</v>
      </c>
    </row>
    <row r="44" spans="1:8">
      <c r="A44">
        <v>30</v>
      </c>
      <c r="B44" t="s">
        <v>602</v>
      </c>
      <c r="C44">
        <v>0.281</v>
      </c>
      <c r="D44">
        <v>0.46</v>
      </c>
      <c r="E44">
        <v>72</v>
      </c>
      <c r="F44" t="s">
        <v>603</v>
      </c>
      <c r="G44">
        <v>0.028</v>
      </c>
      <c r="H44">
        <v>0.008</v>
      </c>
    </row>
    <row r="45" spans="1:8">
      <c r="A45">
        <v>31</v>
      </c>
      <c r="B45" t="s">
        <v>604</v>
      </c>
      <c r="C45">
        <v>0.504</v>
      </c>
      <c r="D45">
        <v>0.458</v>
      </c>
      <c r="E45">
        <v>73</v>
      </c>
      <c r="F45" t="s">
        <v>605</v>
      </c>
      <c r="G45">
        <v>0.018</v>
      </c>
      <c r="H45">
        <v>0.033</v>
      </c>
    </row>
    <row r="46" spans="1:8">
      <c r="A46">
        <v>32</v>
      </c>
      <c r="B46" t="s">
        <v>606</v>
      </c>
      <c r="C46">
        <v>0.512</v>
      </c>
      <c r="D46">
        <v>0.442</v>
      </c>
      <c r="E46">
        <v>74</v>
      </c>
      <c r="F46" t="s">
        <v>607</v>
      </c>
      <c r="G46">
        <v>0.014</v>
      </c>
      <c r="H46">
        <v>0.012</v>
      </c>
    </row>
    <row r="47" spans="1:8">
      <c r="A47">
        <v>33</v>
      </c>
      <c r="B47" t="s">
        <v>608</v>
      </c>
      <c r="C47">
        <v>0.44</v>
      </c>
      <c r="D47">
        <v>0.418</v>
      </c>
      <c r="E47">
        <v>75</v>
      </c>
      <c r="F47" t="s">
        <v>609</v>
      </c>
      <c r="G47">
        <v>0.013</v>
      </c>
      <c r="H47">
        <v>0.172</v>
      </c>
    </row>
    <row r="48" spans="1:8">
      <c r="A48">
        <v>34</v>
      </c>
      <c r="B48" t="s">
        <v>561</v>
      </c>
      <c r="C48">
        <v>0.176</v>
      </c>
      <c r="D48">
        <v>0.415</v>
      </c>
      <c r="E48">
        <v>76</v>
      </c>
      <c r="F48" t="s">
        <v>610</v>
      </c>
      <c r="G48">
        <v>0.01</v>
      </c>
      <c r="H48">
        <v>0.009</v>
      </c>
    </row>
    <row r="49" spans="1:8">
      <c r="A49">
        <v>35</v>
      </c>
      <c r="B49" t="s">
        <v>611</v>
      </c>
      <c r="C49">
        <v>0.525</v>
      </c>
      <c r="D49">
        <v>0.407</v>
      </c>
      <c r="E49">
        <v>77</v>
      </c>
      <c r="F49" t="s">
        <v>612</v>
      </c>
      <c r="G49">
        <v>0.006</v>
      </c>
      <c r="H49">
        <v>0.011</v>
      </c>
    </row>
    <row r="50" spans="1:8">
      <c r="A50">
        <v>36</v>
      </c>
      <c r="B50" t="s">
        <v>613</v>
      </c>
      <c r="C50">
        <v>0.316</v>
      </c>
      <c r="D50">
        <v>0.405</v>
      </c>
      <c r="E50">
        <v>78</v>
      </c>
      <c r="F50" t="s">
        <v>614</v>
      </c>
      <c r="G50">
        <v>0.006</v>
      </c>
      <c r="H50">
        <v>0.011</v>
      </c>
    </row>
    <row r="51" spans="1:8">
      <c r="A51">
        <v>37</v>
      </c>
      <c r="B51" t="s">
        <v>615</v>
      </c>
      <c r="C51">
        <v>0.449</v>
      </c>
      <c r="D51">
        <v>0.393</v>
      </c>
      <c r="E51">
        <v>79</v>
      </c>
      <c r="F51" t="s">
        <v>616</v>
      </c>
      <c r="G51">
        <v>0.005</v>
      </c>
      <c r="H51">
        <v>0.028</v>
      </c>
    </row>
    <row r="52" spans="1:8">
      <c r="A52">
        <v>38</v>
      </c>
      <c r="B52" t="s">
        <v>617</v>
      </c>
      <c r="C52">
        <v>0.381</v>
      </c>
      <c r="D52">
        <v>0.388</v>
      </c>
      <c r="E52">
        <v>80</v>
      </c>
      <c r="F52" t="s">
        <v>618</v>
      </c>
      <c r="G52">
        <v>0.001</v>
      </c>
      <c r="H52">
        <v>0.004</v>
      </c>
    </row>
    <row r="53" spans="1:8">
      <c r="A53">
        <v>39</v>
      </c>
      <c r="B53" t="s">
        <v>619</v>
      </c>
      <c r="C53">
        <v>0.377</v>
      </c>
      <c r="D53">
        <v>0.369</v>
      </c>
      <c r="E53">
        <v>81</v>
      </c>
      <c r="F53" t="s">
        <v>620</v>
      </c>
      <c r="G53">
        <v>0.001</v>
      </c>
      <c r="H53">
        <v>0.001</v>
      </c>
    </row>
    <row r="54" spans="1:8">
      <c r="A54">
        <v>40</v>
      </c>
      <c r="B54" t="s">
        <v>559</v>
      </c>
      <c r="C54">
        <v>0.181</v>
      </c>
      <c r="D54">
        <v>0.352</v>
      </c>
      <c r="E54">
        <v>82</v>
      </c>
      <c r="F54" t="s">
        <v>621</v>
      </c>
      <c r="G54">
        <v>0</v>
      </c>
      <c r="H54">
        <v>0.001</v>
      </c>
    </row>
    <row r="55" spans="1:8">
      <c r="A55">
        <v>41</v>
      </c>
      <c r="B55" t="s">
        <v>622</v>
      </c>
      <c r="C55">
        <v>0.276</v>
      </c>
      <c r="D55">
        <v>0.342</v>
      </c>
      <c r="E55">
        <v>83</v>
      </c>
      <c r="F55" t="s">
        <v>623</v>
      </c>
      <c r="G55">
        <v>0</v>
      </c>
      <c r="H55">
        <v>0</v>
      </c>
    </row>
    <row r="56" spans="1:8">
      <c r="A56">
        <v>42</v>
      </c>
      <c r="B56" t="s">
        <v>270</v>
      </c>
      <c r="C56">
        <v>0.208</v>
      </c>
      <c r="D56">
        <v>0.312</v>
      </c>
      <c r="E56">
        <v>84</v>
      </c>
      <c r="F56" t="s">
        <v>624</v>
      </c>
      <c r="G56">
        <v>0</v>
      </c>
      <c r="H56">
        <v>0</v>
      </c>
    </row>
    <row r="57" spans="2:4">
      <c r="B57" t="s">
        <v>625</v>
      </c>
      <c r="C57">
        <v>0.266</v>
      </c>
      <c r="D57">
        <v>0.287</v>
      </c>
    </row>
    <row r="58" spans="2:4">
      <c r="B58" t="s">
        <v>626</v>
      </c>
      <c r="C58">
        <v>0.416</v>
      </c>
      <c r="D58">
        <v>0.253</v>
      </c>
    </row>
    <row r="59" spans="2:13">
      <c r="B59" t="s">
        <v>546</v>
      </c>
      <c r="C59">
        <v>0.26</v>
      </c>
      <c r="D59">
        <v>0.247</v>
      </c>
      <c r="L59" s="78" t="s">
        <v>627</v>
      </c>
      <c r="M59" t="s">
        <v>628</v>
      </c>
    </row>
    <row r="60" spans="2:15">
      <c r="B60" t="s">
        <v>550</v>
      </c>
      <c r="C60">
        <v>0.24</v>
      </c>
      <c r="D60">
        <v>0.238</v>
      </c>
      <c r="L60" t="s">
        <v>629</v>
      </c>
      <c r="M60" t="s">
        <v>630</v>
      </c>
      <c r="N60" t="s">
        <v>631</v>
      </c>
      <c r="O60" t="s">
        <v>632</v>
      </c>
    </row>
    <row r="61" spans="2:15">
      <c r="B61" t="s">
        <v>569</v>
      </c>
      <c r="C61">
        <v>0.14</v>
      </c>
      <c r="D61">
        <v>0.238</v>
      </c>
      <c r="L61" t="s">
        <v>633</v>
      </c>
      <c r="M61" t="s">
        <v>634</v>
      </c>
      <c r="N61" t="s">
        <v>635</v>
      </c>
      <c r="O61" t="s">
        <v>636</v>
      </c>
    </row>
    <row r="62" spans="2:12">
      <c r="B62" t="s">
        <v>552</v>
      </c>
      <c r="C62">
        <v>0.221</v>
      </c>
      <c r="D62">
        <v>0.237</v>
      </c>
      <c r="L62" t="s">
        <v>637</v>
      </c>
    </row>
    <row r="63" spans="2:12">
      <c r="B63" t="s">
        <v>638</v>
      </c>
      <c r="C63">
        <v>0.295</v>
      </c>
      <c r="D63">
        <v>0.204</v>
      </c>
      <c r="L63" t="s">
        <v>639</v>
      </c>
    </row>
    <row r="64" spans="2:14">
      <c r="B64" t="s">
        <v>554</v>
      </c>
      <c r="C64">
        <v>0.218</v>
      </c>
      <c r="D64">
        <v>0.202</v>
      </c>
      <c r="L64" t="s">
        <v>635</v>
      </c>
      <c r="M64" t="s">
        <v>636</v>
      </c>
      <c r="N64" t="s">
        <v>640</v>
      </c>
    </row>
    <row r="65" spans="2:12">
      <c r="B65" t="s">
        <v>609</v>
      </c>
      <c r="C65">
        <v>0.013</v>
      </c>
      <c r="D65">
        <v>0.172</v>
      </c>
      <c r="L65" t="s">
        <v>541</v>
      </c>
    </row>
    <row r="66" spans="2:13">
      <c r="B66" t="s">
        <v>563</v>
      </c>
      <c r="C66">
        <v>0.175</v>
      </c>
      <c r="D66">
        <v>0.157</v>
      </c>
      <c r="L66" t="s">
        <v>507</v>
      </c>
      <c r="M66" t="s">
        <v>628</v>
      </c>
    </row>
    <row r="67" spans="2:15">
      <c r="B67" t="s">
        <v>575</v>
      </c>
      <c r="C67">
        <v>0.112</v>
      </c>
      <c r="D67">
        <v>0.157</v>
      </c>
      <c r="L67" t="s">
        <v>629</v>
      </c>
      <c r="M67" t="s">
        <v>630</v>
      </c>
      <c r="N67" t="s">
        <v>631</v>
      </c>
      <c r="O67" t="s">
        <v>632</v>
      </c>
    </row>
    <row r="68" spans="2:15">
      <c r="B68" t="s">
        <v>548</v>
      </c>
      <c r="C68">
        <v>0.251</v>
      </c>
      <c r="D68">
        <v>0.128</v>
      </c>
      <c r="L68" t="s">
        <v>633</v>
      </c>
      <c r="M68" t="s">
        <v>634</v>
      </c>
      <c r="N68" t="s">
        <v>635</v>
      </c>
      <c r="O68" t="s">
        <v>636</v>
      </c>
    </row>
    <row r="69" spans="2:12">
      <c r="B69" t="s">
        <v>557</v>
      </c>
      <c r="C69">
        <v>0.203</v>
      </c>
      <c r="D69">
        <v>0.118</v>
      </c>
      <c r="L69" t="s">
        <v>637</v>
      </c>
    </row>
    <row r="70" spans="2:12">
      <c r="B70" t="s">
        <v>585</v>
      </c>
      <c r="C70">
        <v>0.07</v>
      </c>
      <c r="D70">
        <v>0.117</v>
      </c>
      <c r="L70" t="s">
        <v>639</v>
      </c>
    </row>
    <row r="71" spans="2:14">
      <c r="B71" t="s">
        <v>583</v>
      </c>
      <c r="C71">
        <v>0.093</v>
      </c>
      <c r="D71">
        <v>0.11</v>
      </c>
      <c r="L71" t="s">
        <v>635</v>
      </c>
      <c r="M71" t="s">
        <v>636</v>
      </c>
      <c r="N71" t="s">
        <v>640</v>
      </c>
    </row>
    <row r="72" spans="2:12">
      <c r="B72" t="s">
        <v>573</v>
      </c>
      <c r="C72">
        <v>0.12</v>
      </c>
      <c r="D72">
        <v>0.104</v>
      </c>
      <c r="L72" t="s">
        <v>541</v>
      </c>
    </row>
    <row r="73" spans="2:16">
      <c r="B73" t="s">
        <v>597</v>
      </c>
      <c r="C73">
        <v>0.035</v>
      </c>
      <c r="D73">
        <v>0.102</v>
      </c>
      <c r="L73">
        <v>1</v>
      </c>
      <c r="M73" t="s">
        <v>566</v>
      </c>
      <c r="N73">
        <v>16.192</v>
      </c>
      <c r="O73">
        <v>8.914</v>
      </c>
      <c r="P73">
        <v>43</v>
      </c>
    </row>
    <row r="74" spans="2:16">
      <c r="B74" t="s">
        <v>577</v>
      </c>
      <c r="C74">
        <v>0.107</v>
      </c>
      <c r="D74">
        <v>0.101</v>
      </c>
      <c r="L74">
        <v>2</v>
      </c>
      <c r="M74" t="s">
        <v>555</v>
      </c>
      <c r="N74">
        <v>0.693</v>
      </c>
      <c r="O74">
        <v>7.306</v>
      </c>
      <c r="P74">
        <v>44</v>
      </c>
    </row>
    <row r="75" spans="2:16">
      <c r="B75" t="s">
        <v>579</v>
      </c>
      <c r="C75">
        <v>0.102</v>
      </c>
      <c r="D75">
        <v>0.099</v>
      </c>
      <c r="L75">
        <v>3</v>
      </c>
      <c r="M75" t="s">
        <v>551</v>
      </c>
      <c r="N75">
        <v>7.144</v>
      </c>
      <c r="O75">
        <v>7.187</v>
      </c>
      <c r="P75">
        <v>45</v>
      </c>
    </row>
    <row r="76" spans="2:16">
      <c r="B76" t="s">
        <v>571</v>
      </c>
      <c r="C76">
        <v>0.13</v>
      </c>
      <c r="D76">
        <v>0.089</v>
      </c>
      <c r="L76">
        <v>4</v>
      </c>
      <c r="M76" t="s">
        <v>553</v>
      </c>
      <c r="N76">
        <v>1.464</v>
      </c>
      <c r="O76">
        <v>6.605</v>
      </c>
      <c r="P76">
        <v>46</v>
      </c>
    </row>
    <row r="77" spans="2:16">
      <c r="B77" t="s">
        <v>567</v>
      </c>
      <c r="C77">
        <v>0.148</v>
      </c>
      <c r="D77">
        <v>0.086</v>
      </c>
      <c r="L77">
        <v>5</v>
      </c>
      <c r="M77" t="s">
        <v>560</v>
      </c>
      <c r="N77">
        <v>10.355</v>
      </c>
      <c r="O77">
        <v>6.587</v>
      </c>
      <c r="P77">
        <v>47</v>
      </c>
    </row>
    <row r="78" spans="2:16">
      <c r="B78" t="s">
        <v>565</v>
      </c>
      <c r="C78">
        <v>0.158</v>
      </c>
      <c r="D78">
        <v>0.073</v>
      </c>
      <c r="L78">
        <v>6</v>
      </c>
      <c r="M78" t="s">
        <v>562</v>
      </c>
      <c r="N78">
        <v>7.873</v>
      </c>
      <c r="O78">
        <v>6.247</v>
      </c>
      <c r="P78">
        <v>48</v>
      </c>
    </row>
    <row r="79" spans="2:16">
      <c r="B79" t="s">
        <v>591</v>
      </c>
      <c r="C79">
        <v>0.049</v>
      </c>
      <c r="D79">
        <v>0.073</v>
      </c>
      <c r="L79">
        <v>7</v>
      </c>
      <c r="M79" t="s">
        <v>564</v>
      </c>
      <c r="N79">
        <v>3.199</v>
      </c>
      <c r="O79">
        <v>5.262</v>
      </c>
      <c r="P79">
        <v>49</v>
      </c>
    </row>
    <row r="80" spans="2:16">
      <c r="B80" t="s">
        <v>581</v>
      </c>
      <c r="C80">
        <v>0.099</v>
      </c>
      <c r="D80">
        <v>0.068</v>
      </c>
      <c r="L80">
        <v>8</v>
      </c>
      <c r="M80" t="s">
        <v>572</v>
      </c>
      <c r="N80">
        <v>14.849</v>
      </c>
      <c r="O80">
        <v>5.011</v>
      </c>
      <c r="P80">
        <v>50</v>
      </c>
    </row>
    <row r="81" spans="2:16">
      <c r="B81" t="s">
        <v>589</v>
      </c>
      <c r="C81">
        <v>0.057</v>
      </c>
      <c r="D81">
        <v>0.056</v>
      </c>
      <c r="L81">
        <v>9</v>
      </c>
      <c r="M81" t="s">
        <v>547</v>
      </c>
      <c r="N81">
        <v>2.566</v>
      </c>
      <c r="O81">
        <v>4.938</v>
      </c>
      <c r="P81">
        <v>51</v>
      </c>
    </row>
    <row r="82" spans="2:16">
      <c r="B82" t="s">
        <v>593</v>
      </c>
      <c r="C82">
        <v>0.045</v>
      </c>
      <c r="D82">
        <v>0.047</v>
      </c>
      <c r="L82">
        <v>10</v>
      </c>
      <c r="M82" t="s">
        <v>576</v>
      </c>
      <c r="N82">
        <v>6.747</v>
      </c>
      <c r="O82">
        <v>4.744</v>
      </c>
      <c r="P82">
        <v>52</v>
      </c>
    </row>
    <row r="83" spans="2:16">
      <c r="B83" t="s">
        <v>587</v>
      </c>
      <c r="C83">
        <v>0.063</v>
      </c>
      <c r="D83">
        <v>0.033</v>
      </c>
      <c r="L83">
        <v>11</v>
      </c>
      <c r="M83" t="s">
        <v>588</v>
      </c>
      <c r="N83">
        <v>2.47</v>
      </c>
      <c r="O83">
        <v>4.359</v>
      </c>
      <c r="P83">
        <v>53</v>
      </c>
    </row>
    <row r="84" spans="2:16">
      <c r="B84" t="s">
        <v>605</v>
      </c>
      <c r="C84">
        <v>0.018</v>
      </c>
      <c r="D84">
        <v>0.033</v>
      </c>
      <c r="L84">
        <v>12</v>
      </c>
      <c r="M84" t="s">
        <v>590</v>
      </c>
      <c r="N84">
        <v>3.542</v>
      </c>
      <c r="O84">
        <v>2.935</v>
      </c>
      <c r="P84">
        <v>54</v>
      </c>
    </row>
    <row r="85" spans="2:16">
      <c r="B85" t="s">
        <v>599</v>
      </c>
      <c r="C85">
        <v>0.034</v>
      </c>
      <c r="D85">
        <v>0.032</v>
      </c>
      <c r="L85">
        <v>13</v>
      </c>
      <c r="M85" t="s">
        <v>554</v>
      </c>
      <c r="N85">
        <v>3.705</v>
      </c>
      <c r="O85">
        <v>2.225</v>
      </c>
      <c r="P85">
        <v>55</v>
      </c>
    </row>
    <row r="86" spans="2:16">
      <c r="B86" t="s">
        <v>616</v>
      </c>
      <c r="C86">
        <v>0.005</v>
      </c>
      <c r="D86">
        <v>0.028</v>
      </c>
      <c r="L86">
        <v>14</v>
      </c>
      <c r="M86" t="s">
        <v>596</v>
      </c>
      <c r="N86">
        <v>0.627</v>
      </c>
      <c r="O86">
        <v>1.896</v>
      </c>
      <c r="P86">
        <v>56</v>
      </c>
    </row>
    <row r="87" spans="2:16">
      <c r="B87" t="s">
        <v>601</v>
      </c>
      <c r="C87">
        <v>0.034</v>
      </c>
      <c r="D87">
        <v>0.027</v>
      </c>
      <c r="L87">
        <v>15</v>
      </c>
      <c r="M87" t="s">
        <v>559</v>
      </c>
      <c r="N87">
        <v>1.313</v>
      </c>
      <c r="O87">
        <v>1.812</v>
      </c>
      <c r="P87">
        <v>57</v>
      </c>
    </row>
    <row r="88" spans="2:16">
      <c r="B88" t="s">
        <v>595</v>
      </c>
      <c r="C88">
        <v>0.041</v>
      </c>
      <c r="D88">
        <v>0.015</v>
      </c>
      <c r="L88">
        <v>16</v>
      </c>
      <c r="M88" t="s">
        <v>558</v>
      </c>
      <c r="N88">
        <v>0.38</v>
      </c>
      <c r="O88">
        <v>1.77</v>
      </c>
      <c r="P88">
        <v>58</v>
      </c>
    </row>
    <row r="89" spans="2:16">
      <c r="B89" t="s">
        <v>607</v>
      </c>
      <c r="C89">
        <v>0.014</v>
      </c>
      <c r="D89">
        <v>0.012</v>
      </c>
      <c r="L89">
        <v>17</v>
      </c>
      <c r="M89" t="s">
        <v>611</v>
      </c>
      <c r="N89">
        <v>2.012</v>
      </c>
      <c r="O89">
        <v>1.741</v>
      </c>
      <c r="P89">
        <v>59</v>
      </c>
    </row>
    <row r="90" spans="2:16">
      <c r="B90" t="s">
        <v>612</v>
      </c>
      <c r="C90">
        <v>0.006</v>
      </c>
      <c r="D90">
        <v>0.011</v>
      </c>
      <c r="L90">
        <v>18</v>
      </c>
      <c r="M90" t="s">
        <v>556</v>
      </c>
      <c r="N90">
        <v>1.645</v>
      </c>
      <c r="O90">
        <v>1.696</v>
      </c>
      <c r="P90">
        <v>60</v>
      </c>
    </row>
    <row r="91" spans="2:16">
      <c r="B91" t="s">
        <v>614</v>
      </c>
      <c r="C91">
        <v>0.006</v>
      </c>
      <c r="D91">
        <v>0.011</v>
      </c>
      <c r="L91">
        <v>19</v>
      </c>
      <c r="M91" t="s">
        <v>613</v>
      </c>
      <c r="N91">
        <v>0.536</v>
      </c>
      <c r="O91">
        <v>1.446</v>
      </c>
      <c r="P91">
        <v>61</v>
      </c>
    </row>
    <row r="92" spans="2:16">
      <c r="B92" t="s">
        <v>610</v>
      </c>
      <c r="C92">
        <v>0.01</v>
      </c>
      <c r="D92">
        <v>0.009</v>
      </c>
      <c r="L92">
        <v>20</v>
      </c>
      <c r="M92" t="s">
        <v>549</v>
      </c>
      <c r="N92">
        <v>0.241</v>
      </c>
      <c r="O92">
        <v>1.282</v>
      </c>
      <c r="P92">
        <v>62</v>
      </c>
    </row>
    <row r="93" spans="2:16">
      <c r="B93" t="s">
        <v>603</v>
      </c>
      <c r="C93">
        <v>0.028</v>
      </c>
      <c r="D93">
        <v>0.008</v>
      </c>
      <c r="L93">
        <v>21</v>
      </c>
      <c r="M93" t="s">
        <v>584</v>
      </c>
      <c r="N93">
        <v>1.319</v>
      </c>
      <c r="O93">
        <v>1.228</v>
      </c>
      <c r="P93">
        <v>63</v>
      </c>
    </row>
    <row r="94" spans="2:16">
      <c r="B94" t="s">
        <v>618</v>
      </c>
      <c r="C94">
        <v>0.001</v>
      </c>
      <c r="D94">
        <v>0.004</v>
      </c>
      <c r="L94">
        <v>22</v>
      </c>
      <c r="M94" t="s">
        <v>582</v>
      </c>
      <c r="N94">
        <v>0.452</v>
      </c>
      <c r="O94">
        <v>0.989</v>
      </c>
      <c r="P94">
        <v>64</v>
      </c>
    </row>
    <row r="95" spans="2:16">
      <c r="B95" t="s">
        <v>620</v>
      </c>
      <c r="C95">
        <v>0.001</v>
      </c>
      <c r="D95">
        <v>0.001</v>
      </c>
      <c r="L95">
        <v>23</v>
      </c>
      <c r="M95" t="s">
        <v>604</v>
      </c>
      <c r="N95">
        <v>1.283</v>
      </c>
      <c r="O95">
        <v>0.974</v>
      </c>
      <c r="P95">
        <v>65</v>
      </c>
    </row>
    <row r="96" spans="2:16">
      <c r="B96" t="s">
        <v>621</v>
      </c>
      <c r="C96">
        <v>0</v>
      </c>
      <c r="D96">
        <v>0.001</v>
      </c>
      <c r="L96">
        <v>24</v>
      </c>
      <c r="M96" t="s">
        <v>598</v>
      </c>
      <c r="N96">
        <v>0.253</v>
      </c>
      <c r="O96">
        <v>0.944</v>
      </c>
      <c r="P96">
        <v>66</v>
      </c>
    </row>
    <row r="97" spans="2:16">
      <c r="B97" t="s">
        <v>623</v>
      </c>
      <c r="C97">
        <v>0</v>
      </c>
      <c r="D97">
        <v>0</v>
      </c>
      <c r="L97">
        <v>25</v>
      </c>
      <c r="M97" t="s">
        <v>617</v>
      </c>
      <c r="N97">
        <v>0.325</v>
      </c>
      <c r="O97">
        <v>0.705</v>
      </c>
      <c r="P97">
        <v>67</v>
      </c>
    </row>
    <row r="98" spans="2:16">
      <c r="B98" t="s">
        <v>624</v>
      </c>
      <c r="C98">
        <v>0</v>
      </c>
      <c r="D98">
        <v>0</v>
      </c>
      <c r="L98">
        <v>26</v>
      </c>
      <c r="M98" t="s">
        <v>615</v>
      </c>
      <c r="N98">
        <v>0.506</v>
      </c>
      <c r="O98">
        <v>0.696</v>
      </c>
      <c r="P98">
        <v>68</v>
      </c>
    </row>
    <row r="99" spans="12:16">
      <c r="L99">
        <v>27</v>
      </c>
      <c r="M99" t="s">
        <v>600</v>
      </c>
      <c r="N99">
        <v>0.127</v>
      </c>
      <c r="O99">
        <v>0.551</v>
      </c>
      <c r="P99">
        <v>69</v>
      </c>
    </row>
    <row r="100" spans="12:16">
      <c r="L100">
        <v>28</v>
      </c>
      <c r="M100" t="s">
        <v>626</v>
      </c>
      <c r="N100">
        <v>0.56</v>
      </c>
      <c r="O100">
        <v>0.534</v>
      </c>
      <c r="P100">
        <v>70</v>
      </c>
    </row>
    <row r="101" spans="12:16">
      <c r="L101">
        <v>29</v>
      </c>
      <c r="M101" t="s">
        <v>550</v>
      </c>
      <c r="N101">
        <v>0.554</v>
      </c>
      <c r="O101">
        <v>0.526</v>
      </c>
      <c r="P101">
        <v>71</v>
      </c>
    </row>
    <row r="102" spans="12:16">
      <c r="L102">
        <v>30</v>
      </c>
      <c r="M102" t="s">
        <v>563</v>
      </c>
      <c r="N102">
        <v>0.127</v>
      </c>
      <c r="O102">
        <v>0.52</v>
      </c>
      <c r="P102">
        <v>72</v>
      </c>
    </row>
    <row r="103" spans="12:16">
      <c r="L103">
        <v>31</v>
      </c>
      <c r="M103" t="s">
        <v>594</v>
      </c>
      <c r="N103">
        <v>0.41</v>
      </c>
      <c r="O103">
        <v>0.499</v>
      </c>
      <c r="P103">
        <v>73</v>
      </c>
    </row>
    <row r="104" spans="12:16">
      <c r="L104">
        <v>32</v>
      </c>
      <c r="M104" t="s">
        <v>574</v>
      </c>
      <c r="N104">
        <v>0.072</v>
      </c>
      <c r="O104">
        <v>0.449</v>
      </c>
      <c r="P104">
        <v>74</v>
      </c>
    </row>
    <row r="105" spans="12:16">
      <c r="L105">
        <v>33</v>
      </c>
      <c r="M105" t="s">
        <v>592</v>
      </c>
      <c r="N105">
        <v>0.084</v>
      </c>
      <c r="O105">
        <v>0.398</v>
      </c>
      <c r="P105">
        <v>75</v>
      </c>
    </row>
    <row r="106" spans="12:16">
      <c r="L106">
        <v>34</v>
      </c>
      <c r="M106" t="s">
        <v>557</v>
      </c>
      <c r="N106">
        <v>0.295</v>
      </c>
      <c r="O106">
        <v>0.387</v>
      </c>
      <c r="P106">
        <v>76</v>
      </c>
    </row>
    <row r="107" spans="12:16">
      <c r="L107">
        <v>35</v>
      </c>
      <c r="M107" t="s">
        <v>569</v>
      </c>
      <c r="N107">
        <v>0.108</v>
      </c>
      <c r="O107">
        <v>0.38</v>
      </c>
      <c r="P107">
        <v>77</v>
      </c>
    </row>
    <row r="108" spans="12:16">
      <c r="L108">
        <v>36</v>
      </c>
      <c r="M108" t="s">
        <v>606</v>
      </c>
      <c r="N108">
        <v>0.205</v>
      </c>
      <c r="O108">
        <v>0.374</v>
      </c>
      <c r="P108">
        <v>78</v>
      </c>
    </row>
    <row r="109" spans="12:16">
      <c r="L109">
        <v>37</v>
      </c>
      <c r="M109" t="s">
        <v>578</v>
      </c>
      <c r="N109">
        <v>0.669</v>
      </c>
      <c r="O109">
        <v>0.342</v>
      </c>
      <c r="P109">
        <v>79</v>
      </c>
    </row>
    <row r="110" spans="12:16">
      <c r="L110">
        <v>38</v>
      </c>
      <c r="M110" t="s">
        <v>270</v>
      </c>
      <c r="N110">
        <v>0.211</v>
      </c>
      <c r="O110">
        <v>0.312</v>
      </c>
      <c r="P110">
        <v>80</v>
      </c>
    </row>
    <row r="111" spans="12:16">
      <c r="L111">
        <v>39</v>
      </c>
      <c r="M111" t="s">
        <v>567</v>
      </c>
      <c r="N111">
        <v>0.313</v>
      </c>
      <c r="O111">
        <v>0.265</v>
      </c>
      <c r="P111">
        <v>81</v>
      </c>
    </row>
    <row r="112" spans="12:16">
      <c r="L112">
        <v>40</v>
      </c>
      <c r="M112" t="s">
        <v>548</v>
      </c>
      <c r="N112">
        <v>1.307</v>
      </c>
      <c r="O112">
        <v>0.258</v>
      </c>
      <c r="P112">
        <v>82</v>
      </c>
    </row>
    <row r="113" spans="12:16">
      <c r="L113">
        <v>41</v>
      </c>
      <c r="M113" t="s">
        <v>625</v>
      </c>
      <c r="N113">
        <v>0.078</v>
      </c>
      <c r="O113">
        <v>0.24</v>
      </c>
      <c r="P113">
        <v>83</v>
      </c>
    </row>
    <row r="114" spans="12:16">
      <c r="L114">
        <v>42</v>
      </c>
      <c r="M114" t="s">
        <v>589</v>
      </c>
      <c r="N114">
        <v>0.229</v>
      </c>
      <c r="O114">
        <v>0.215</v>
      </c>
      <c r="P114">
        <v>84</v>
      </c>
    </row>
    <row r="115" spans="13:15">
      <c r="M115" t="s">
        <v>602</v>
      </c>
      <c r="N115">
        <v>0.06</v>
      </c>
      <c r="O115">
        <v>0.212</v>
      </c>
    </row>
    <row r="116" spans="13:15">
      <c r="M116" t="s">
        <v>568</v>
      </c>
      <c r="N116">
        <v>0.018</v>
      </c>
      <c r="O116">
        <v>0.191</v>
      </c>
    </row>
    <row r="117" spans="13:15">
      <c r="M117" t="s">
        <v>622</v>
      </c>
      <c r="N117">
        <v>0.102</v>
      </c>
      <c r="O117">
        <v>0.185</v>
      </c>
    </row>
    <row r="118" spans="13:15">
      <c r="M118" t="s">
        <v>545</v>
      </c>
      <c r="N118">
        <v>0.054</v>
      </c>
      <c r="O118">
        <v>0.179</v>
      </c>
    </row>
    <row r="119" spans="13:15">
      <c r="M119" t="s">
        <v>561</v>
      </c>
      <c r="N119">
        <v>0.024</v>
      </c>
      <c r="O119">
        <v>0.159</v>
      </c>
    </row>
    <row r="120" spans="13:15">
      <c r="M120" t="s">
        <v>577</v>
      </c>
      <c r="N120">
        <v>0.024</v>
      </c>
      <c r="O120">
        <v>0.144</v>
      </c>
    </row>
    <row r="121" spans="13:15">
      <c r="M121" t="s">
        <v>586</v>
      </c>
      <c r="N121">
        <v>0.121</v>
      </c>
      <c r="O121">
        <v>0.142</v>
      </c>
    </row>
    <row r="122" spans="13:15">
      <c r="M122" t="s">
        <v>619</v>
      </c>
      <c r="N122">
        <v>0.072</v>
      </c>
      <c r="O122">
        <v>0.137</v>
      </c>
    </row>
    <row r="123" spans="13:15">
      <c r="M123" t="s">
        <v>593</v>
      </c>
      <c r="N123">
        <v>0.018</v>
      </c>
      <c r="O123">
        <v>0.135</v>
      </c>
    </row>
    <row r="124" spans="13:15">
      <c r="M124" t="s">
        <v>575</v>
      </c>
      <c r="N124">
        <v>0.078</v>
      </c>
      <c r="O124">
        <v>0.13</v>
      </c>
    </row>
    <row r="125" spans="13:15">
      <c r="M125" t="s">
        <v>638</v>
      </c>
      <c r="N125">
        <v>0.066</v>
      </c>
      <c r="O125">
        <v>0.12</v>
      </c>
    </row>
    <row r="126" spans="13:15">
      <c r="M126" t="s">
        <v>599</v>
      </c>
      <c r="N126">
        <v>0.169</v>
      </c>
      <c r="O126">
        <v>0.113</v>
      </c>
    </row>
    <row r="127" spans="13:15">
      <c r="M127" t="s">
        <v>609</v>
      </c>
      <c r="N127">
        <v>0.006</v>
      </c>
      <c r="O127">
        <v>0.108</v>
      </c>
    </row>
    <row r="128" spans="13:15">
      <c r="M128" t="s">
        <v>603</v>
      </c>
      <c r="N128">
        <v>0.687</v>
      </c>
      <c r="O128">
        <v>0.105</v>
      </c>
    </row>
    <row r="129" spans="13:15">
      <c r="M129" t="s">
        <v>580</v>
      </c>
      <c r="N129">
        <v>0.09</v>
      </c>
      <c r="O129">
        <v>0.101</v>
      </c>
    </row>
    <row r="130" spans="13:15">
      <c r="M130" t="s">
        <v>579</v>
      </c>
      <c r="N130">
        <v>0.06</v>
      </c>
      <c r="O130">
        <v>0.097</v>
      </c>
    </row>
    <row r="131" spans="13:15">
      <c r="M131" t="s">
        <v>587</v>
      </c>
      <c r="N131">
        <v>0.102</v>
      </c>
      <c r="O131">
        <v>0.085</v>
      </c>
    </row>
    <row r="132" spans="13:15">
      <c r="M132" t="s">
        <v>546</v>
      </c>
      <c r="N132">
        <v>0.066</v>
      </c>
      <c r="O132">
        <v>0.075</v>
      </c>
    </row>
    <row r="133" spans="13:15">
      <c r="M133" t="s">
        <v>616</v>
      </c>
      <c r="N133">
        <v>0.006</v>
      </c>
      <c r="O133">
        <v>0.075</v>
      </c>
    </row>
    <row r="134" spans="13:15">
      <c r="M134" t="s">
        <v>581</v>
      </c>
      <c r="N134">
        <v>0.133</v>
      </c>
      <c r="O134">
        <v>0.073</v>
      </c>
    </row>
    <row r="135" spans="13:15">
      <c r="M135" t="s">
        <v>612</v>
      </c>
      <c r="N135">
        <v>0</v>
      </c>
      <c r="O135">
        <v>0.071</v>
      </c>
    </row>
    <row r="136" spans="13:15">
      <c r="M136" t="s">
        <v>573</v>
      </c>
      <c r="N136">
        <v>0.024</v>
      </c>
      <c r="O136">
        <v>0.064</v>
      </c>
    </row>
    <row r="137" spans="13:15">
      <c r="M137" t="s">
        <v>571</v>
      </c>
      <c r="N137">
        <v>0.012</v>
      </c>
      <c r="O137">
        <v>0.06</v>
      </c>
    </row>
    <row r="138" spans="13:15">
      <c r="M138" t="s">
        <v>583</v>
      </c>
      <c r="N138">
        <v>0.03</v>
      </c>
      <c r="O138">
        <v>0.058</v>
      </c>
    </row>
    <row r="139" spans="13:15">
      <c r="M139" t="s">
        <v>552</v>
      </c>
      <c r="N139">
        <v>0.024</v>
      </c>
      <c r="O139">
        <v>0.058</v>
      </c>
    </row>
    <row r="140" spans="13:15">
      <c r="M140" t="s">
        <v>591</v>
      </c>
      <c r="N140">
        <v>0.018</v>
      </c>
      <c r="O140">
        <v>0.053</v>
      </c>
    </row>
    <row r="141" spans="13:15">
      <c r="M141" t="s">
        <v>570</v>
      </c>
      <c r="N141">
        <v>0.03</v>
      </c>
      <c r="O141">
        <v>0.052</v>
      </c>
    </row>
    <row r="142" spans="13:15">
      <c r="M142" t="s">
        <v>614</v>
      </c>
      <c r="N142">
        <v>0</v>
      </c>
      <c r="O142">
        <v>0.049</v>
      </c>
    </row>
    <row r="143" spans="13:15">
      <c r="M143" t="s">
        <v>597</v>
      </c>
      <c r="N143">
        <v>0.006</v>
      </c>
      <c r="O143">
        <v>0.046</v>
      </c>
    </row>
    <row r="144" spans="13:15">
      <c r="M144" t="s">
        <v>565</v>
      </c>
      <c r="N144">
        <v>0.078</v>
      </c>
      <c r="O144">
        <v>0.045</v>
      </c>
    </row>
    <row r="145" spans="13:15">
      <c r="M145" t="s">
        <v>605</v>
      </c>
      <c r="N145">
        <v>0.096</v>
      </c>
      <c r="O145">
        <v>0.03</v>
      </c>
    </row>
    <row r="146" spans="13:15">
      <c r="M146" t="s">
        <v>620</v>
      </c>
      <c r="N146">
        <v>0</v>
      </c>
      <c r="O146">
        <v>0.029</v>
      </c>
    </row>
    <row r="147" spans="13:15">
      <c r="M147" t="s">
        <v>608</v>
      </c>
      <c r="N147">
        <v>0.036</v>
      </c>
      <c r="O147">
        <v>0.028</v>
      </c>
    </row>
    <row r="148" spans="13:15">
      <c r="M148" t="s">
        <v>610</v>
      </c>
      <c r="N148">
        <v>0.09</v>
      </c>
      <c r="O148">
        <v>0.026</v>
      </c>
    </row>
    <row r="149" spans="13:15">
      <c r="M149" t="s">
        <v>585</v>
      </c>
      <c r="N149">
        <v>0</v>
      </c>
      <c r="O149">
        <v>0.026</v>
      </c>
    </row>
    <row r="150" spans="13:15">
      <c r="M150" t="s">
        <v>607</v>
      </c>
      <c r="N150">
        <v>0.006</v>
      </c>
      <c r="O150">
        <v>0.023</v>
      </c>
    </row>
    <row r="151" spans="13:15">
      <c r="M151" t="s">
        <v>601</v>
      </c>
      <c r="N151">
        <v>0</v>
      </c>
      <c r="O151">
        <v>0.021</v>
      </c>
    </row>
    <row r="152" spans="13:15">
      <c r="M152" t="s">
        <v>595</v>
      </c>
      <c r="N152">
        <v>0.012</v>
      </c>
      <c r="O152">
        <v>0.016</v>
      </c>
    </row>
    <row r="153" spans="13:15">
      <c r="M153" t="s">
        <v>623</v>
      </c>
      <c r="N153">
        <v>0.006</v>
      </c>
      <c r="O153">
        <v>0.006</v>
      </c>
    </row>
    <row r="154" spans="13:15">
      <c r="M154" t="s">
        <v>618</v>
      </c>
      <c r="N154">
        <v>0</v>
      </c>
      <c r="O154">
        <v>0.005</v>
      </c>
    </row>
    <row r="155" spans="13:15">
      <c r="M155" t="s">
        <v>621</v>
      </c>
      <c r="N155">
        <v>0</v>
      </c>
      <c r="O155">
        <v>0.004</v>
      </c>
    </row>
    <row r="156" spans="13:15">
      <c r="M156" t="s">
        <v>624</v>
      </c>
      <c r="N156">
        <v>0</v>
      </c>
      <c r="O156">
        <v>0.002</v>
      </c>
    </row>
  </sheetData>
  <sortState ref="M73:O156">
    <sortCondition ref="O73:O156" descending="1"/>
  </sortState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62" customWidth="1"/>
    <col min="2" max="3" width="16.125" style="63" customWidth="1"/>
    <col min="4" max="8" width="15.125" style="63" customWidth="1"/>
    <col min="9" max="13" width="14.125" style="63" customWidth="1"/>
    <col min="14" max="15" width="12.25" style="63" customWidth="1"/>
    <col min="16" max="21" width="14.125" style="63" customWidth="1"/>
    <col min="22" max="23" width="11.25" style="63" customWidth="1"/>
    <col min="24" max="24" width="14.125" style="63" customWidth="1"/>
    <col min="25" max="25" width="16.875" style="63" customWidth="1"/>
    <col min="26" max="26" width="14.125" style="63" customWidth="1"/>
    <col min="27" max="27" width="11.5" style="63" customWidth="1"/>
    <col min="28" max="28" width="15.125" style="63" customWidth="1"/>
    <col min="29" max="30" width="14.125" style="63" customWidth="1"/>
    <col min="31" max="31" width="12.25" style="63" customWidth="1"/>
    <col min="32" max="32" width="16.875" style="63" customWidth="1"/>
    <col min="33" max="36" width="15.125" style="63" customWidth="1"/>
    <col min="37" max="38" width="14.125" style="63" customWidth="1"/>
    <col min="39" max="39" width="12.25" style="63" customWidth="1"/>
    <col min="40" max="40" width="11.5" style="63" customWidth="1"/>
    <col min="41" max="41" width="15.125" style="63" customWidth="1"/>
    <col min="42" max="45" width="14.125" style="63" customWidth="1"/>
    <col min="46" max="50" width="15.125" style="63" customWidth="1"/>
    <col min="51" max="53" width="14.125" style="63" customWidth="1"/>
    <col min="54" max="55" width="16.875" style="63" customWidth="1"/>
    <col min="56" max="57" width="14.125" style="63" customWidth="1"/>
    <col min="58" max="59" width="15.125" style="63" customWidth="1"/>
    <col min="60" max="66" width="14.125" style="63" customWidth="1"/>
    <col min="67" max="68" width="15.125" style="63" customWidth="1"/>
    <col min="69" max="69" width="14.125" style="63" customWidth="1"/>
    <col min="70" max="70" width="12.25" style="63" customWidth="1"/>
    <col min="71" max="74" width="14.125" style="63" customWidth="1"/>
    <col min="75" max="75" width="15.125" style="63" customWidth="1"/>
    <col min="76" max="76" width="12.25" style="63" customWidth="1"/>
    <col min="77" max="77" width="14.125" style="63" customWidth="1"/>
    <col min="78" max="79" width="12.25" style="63" customWidth="1"/>
    <col min="80" max="80" width="15.125" style="63" customWidth="1"/>
    <col min="81" max="82" width="14.125" style="63" customWidth="1"/>
    <col min="83" max="83" width="16.875" style="63" customWidth="1"/>
    <col min="84" max="95" width="12.25" style="63" customWidth="1"/>
    <col min="96" max="96" width="13.375" style="63" customWidth="1"/>
    <col min="97" max="97" width="12.25" style="63" customWidth="1"/>
    <col min="98" max="98" width="13.375" style="63" customWidth="1"/>
    <col min="99" max="100" width="12.25" style="63" customWidth="1"/>
    <col min="101" max="101" width="11.5" style="63" customWidth="1"/>
    <col min="102" max="105" width="12.25" style="63" customWidth="1"/>
    <col min="106" max="106" width="15.125" style="63" customWidth="1"/>
    <col min="107" max="107" width="12.25" style="63" customWidth="1"/>
    <col min="108" max="120" width="5.875" style="63" customWidth="1"/>
    <col min="121" max="16384" width="11.125" style="63"/>
  </cols>
  <sheetData>
    <row r="1" ht="12.75" spans="1:1">
      <c r="A1" s="62" t="s">
        <v>641</v>
      </c>
    </row>
    <row r="2" spans="1:107">
      <c r="A2" s="64"/>
      <c r="B2" s="65" t="s">
        <v>148</v>
      </c>
      <c r="C2" s="66" t="s">
        <v>145</v>
      </c>
      <c r="D2" s="66" t="s">
        <v>642</v>
      </c>
      <c r="E2" s="66" t="s">
        <v>142</v>
      </c>
      <c r="F2" s="66" t="s">
        <v>643</v>
      </c>
      <c r="G2" s="67" t="s">
        <v>269</v>
      </c>
      <c r="H2" s="67" t="s">
        <v>270</v>
      </c>
      <c r="I2" s="73" t="s">
        <v>271</v>
      </c>
      <c r="J2" s="73" t="s">
        <v>272</v>
      </c>
      <c r="K2" s="73" t="s">
        <v>273</v>
      </c>
      <c r="L2" s="73" t="s">
        <v>274</v>
      </c>
      <c r="M2" s="73" t="s">
        <v>275</v>
      </c>
      <c r="N2" s="73" t="s">
        <v>276</v>
      </c>
      <c r="O2" s="73" t="s">
        <v>277</v>
      </c>
      <c r="P2" s="73" t="s">
        <v>278</v>
      </c>
      <c r="Q2" s="73" t="s">
        <v>80</v>
      </c>
      <c r="R2" s="73" t="s">
        <v>279</v>
      </c>
      <c r="S2" s="73" t="s">
        <v>280</v>
      </c>
      <c r="T2" s="73" t="s">
        <v>281</v>
      </c>
      <c r="U2" s="73" t="s">
        <v>282</v>
      </c>
      <c r="V2" s="73" t="s">
        <v>285</v>
      </c>
      <c r="W2" s="73" t="s">
        <v>155</v>
      </c>
      <c r="X2" s="73" t="s">
        <v>161</v>
      </c>
      <c r="Y2" s="73" t="s">
        <v>644</v>
      </c>
      <c r="Z2" s="73" t="s">
        <v>78</v>
      </c>
      <c r="AA2" s="73" t="s">
        <v>16</v>
      </c>
      <c r="AB2" s="73" t="s">
        <v>17</v>
      </c>
      <c r="AC2" s="73" t="s">
        <v>645</v>
      </c>
      <c r="AD2" s="73" t="s">
        <v>19</v>
      </c>
      <c r="AE2" s="73" t="s">
        <v>18</v>
      </c>
      <c r="AF2" s="73" t="s">
        <v>646</v>
      </c>
      <c r="AG2" s="73" t="s">
        <v>82</v>
      </c>
      <c r="AH2" s="73" t="s">
        <v>647</v>
      </c>
      <c r="AI2" s="73" t="s">
        <v>81</v>
      </c>
      <c r="AJ2" s="73" t="s">
        <v>9</v>
      </c>
      <c r="AK2" s="73" t="s">
        <v>158</v>
      </c>
      <c r="AL2" s="73" t="s">
        <v>163</v>
      </c>
      <c r="AM2" s="73" t="s">
        <v>164</v>
      </c>
      <c r="AN2" s="73" t="s">
        <v>159</v>
      </c>
      <c r="AO2" s="73" t="s">
        <v>165</v>
      </c>
      <c r="AP2" s="73" t="s">
        <v>166</v>
      </c>
      <c r="AQ2" s="73" t="s">
        <v>30</v>
      </c>
      <c r="AR2" s="73" t="s">
        <v>648</v>
      </c>
      <c r="AS2" s="73" t="s">
        <v>168</v>
      </c>
      <c r="AT2" s="73" t="s">
        <v>169</v>
      </c>
      <c r="AU2" s="73" t="s">
        <v>170</v>
      </c>
      <c r="AV2" s="73" t="s">
        <v>171</v>
      </c>
      <c r="AW2" s="73" t="s">
        <v>172</v>
      </c>
      <c r="AX2" s="73" t="s">
        <v>173</v>
      </c>
      <c r="AY2" s="73" t="s">
        <v>174</v>
      </c>
      <c r="AZ2" s="73" t="s">
        <v>175</v>
      </c>
      <c r="BA2" s="73" t="s">
        <v>176</v>
      </c>
      <c r="BB2" s="73" t="s">
        <v>177</v>
      </c>
      <c r="BC2" s="73" t="s">
        <v>178</v>
      </c>
      <c r="BD2" s="73" t="s">
        <v>179</v>
      </c>
      <c r="BE2" s="73" t="s">
        <v>180</v>
      </c>
      <c r="BF2" s="73" t="s">
        <v>649</v>
      </c>
      <c r="BG2" s="73" t="s">
        <v>182</v>
      </c>
      <c r="BH2" s="73" t="s">
        <v>183</v>
      </c>
      <c r="BI2" s="73" t="s">
        <v>184</v>
      </c>
      <c r="BJ2" s="73" t="s">
        <v>186</v>
      </c>
      <c r="BK2" s="73" t="s">
        <v>185</v>
      </c>
      <c r="BL2" s="73" t="s">
        <v>187</v>
      </c>
      <c r="BM2" s="73" t="s">
        <v>188</v>
      </c>
      <c r="BN2" s="73" t="s">
        <v>189</v>
      </c>
      <c r="BO2" s="73" t="s">
        <v>190</v>
      </c>
      <c r="BP2" s="73" t="s">
        <v>288</v>
      </c>
      <c r="BQ2" s="73" t="s">
        <v>192</v>
      </c>
      <c r="BR2" s="73" t="s">
        <v>193</v>
      </c>
      <c r="BS2" s="73" t="s">
        <v>194</v>
      </c>
      <c r="BT2" s="73" t="s">
        <v>195</v>
      </c>
      <c r="BU2" s="73" t="s">
        <v>196</v>
      </c>
      <c r="BV2" s="73" t="s">
        <v>197</v>
      </c>
      <c r="BW2" s="73" t="s">
        <v>198</v>
      </c>
      <c r="BX2" s="73" t="s">
        <v>199</v>
      </c>
      <c r="BY2" s="73" t="s">
        <v>200</v>
      </c>
      <c r="BZ2" s="73" t="s">
        <v>201</v>
      </c>
      <c r="CA2" s="73" t="s">
        <v>202</v>
      </c>
      <c r="CB2" s="73" t="s">
        <v>203</v>
      </c>
      <c r="CC2" s="73" t="s">
        <v>204</v>
      </c>
      <c r="CD2" s="73" t="s">
        <v>205</v>
      </c>
      <c r="CE2" s="73" t="s">
        <v>206</v>
      </c>
      <c r="CF2" s="73" t="s">
        <v>207</v>
      </c>
      <c r="CG2" s="73" t="s">
        <v>208</v>
      </c>
      <c r="CH2" s="73" t="s">
        <v>210</v>
      </c>
      <c r="CI2" s="73" t="s">
        <v>209</v>
      </c>
      <c r="CJ2" s="73" t="s">
        <v>211</v>
      </c>
      <c r="CK2" s="73" t="s">
        <v>212</v>
      </c>
      <c r="CL2" s="73" t="s">
        <v>213</v>
      </c>
      <c r="CM2" s="73" t="s">
        <v>214</v>
      </c>
      <c r="CN2" s="73" t="s">
        <v>215</v>
      </c>
      <c r="CO2" s="73" t="s">
        <v>216</v>
      </c>
      <c r="CP2" s="73" t="s">
        <v>217</v>
      </c>
      <c r="CQ2" s="73" t="s">
        <v>218</v>
      </c>
      <c r="CR2" s="73" t="s">
        <v>219</v>
      </c>
      <c r="CS2" s="73" t="s">
        <v>220</v>
      </c>
      <c r="CT2" s="73" t="s">
        <v>221</v>
      </c>
      <c r="CU2" s="73" t="s">
        <v>222</v>
      </c>
      <c r="CV2" s="73" t="s">
        <v>223</v>
      </c>
      <c r="CW2" s="73" t="s">
        <v>224</v>
      </c>
      <c r="CX2" s="73" t="s">
        <v>225</v>
      </c>
      <c r="CY2" s="73" t="s">
        <v>226</v>
      </c>
      <c r="CZ2" s="73" t="s">
        <v>227</v>
      </c>
      <c r="DA2" s="73" t="s">
        <v>228</v>
      </c>
      <c r="DB2" s="73" t="s">
        <v>229</v>
      </c>
      <c r="DC2" s="74" t="s">
        <v>230</v>
      </c>
    </row>
    <row r="3" spans="1:107">
      <c r="A3" s="57" t="s">
        <v>92</v>
      </c>
      <c r="B3" s="68">
        <v>110728070.07</v>
      </c>
      <c r="C3" s="68">
        <v>51624192.96</v>
      </c>
      <c r="D3" s="68">
        <v>14037253.44</v>
      </c>
      <c r="E3" s="68">
        <v>8862595.18</v>
      </c>
      <c r="F3" s="68">
        <v>4691299.28</v>
      </c>
      <c r="G3" s="68">
        <v>8351404.94</v>
      </c>
      <c r="H3" s="68">
        <v>259860</v>
      </c>
      <c r="I3" s="68">
        <v>886609.55</v>
      </c>
      <c r="J3" s="68">
        <v>1936656.64</v>
      </c>
      <c r="K3" s="68">
        <v>2178186.16</v>
      </c>
      <c r="L3" s="68">
        <v>759629.82</v>
      </c>
      <c r="M3" s="68">
        <v>1473335.88</v>
      </c>
      <c r="N3" s="68">
        <v>209524.51</v>
      </c>
      <c r="O3" s="68">
        <v>117195.36</v>
      </c>
      <c r="P3" s="68">
        <v>1173955.42</v>
      </c>
      <c r="Q3" s="68">
        <v>1113731.13</v>
      </c>
      <c r="R3" s="68">
        <v>1190460.11</v>
      </c>
      <c r="S3" s="68">
        <v>2384364.33</v>
      </c>
      <c r="T3" s="68">
        <v>2155405.88</v>
      </c>
      <c r="U3" s="68">
        <v>3989787.32</v>
      </c>
      <c r="V3" s="68">
        <v>36980</v>
      </c>
      <c r="W3" s="68">
        <v>0</v>
      </c>
      <c r="X3" s="68">
        <v>967773.8</v>
      </c>
      <c r="Y3" s="68">
        <v>37329.33</v>
      </c>
      <c r="Z3" s="68">
        <v>2608794.59</v>
      </c>
      <c r="AA3" s="68">
        <v>0</v>
      </c>
      <c r="AB3" s="68">
        <v>2154695</v>
      </c>
      <c r="AC3" s="68">
        <v>1814487.62</v>
      </c>
      <c r="AD3" s="68">
        <v>1161439.18</v>
      </c>
      <c r="AE3" s="68">
        <v>118075.66</v>
      </c>
      <c r="AF3" s="68">
        <v>1347800.27</v>
      </c>
      <c r="AG3" s="68">
        <v>3063656.32</v>
      </c>
      <c r="AH3" s="68">
        <v>6032320.81</v>
      </c>
      <c r="AI3" s="68">
        <v>3593476.04</v>
      </c>
      <c r="AJ3" s="68">
        <v>3285140.09</v>
      </c>
      <c r="AK3" s="68">
        <v>3134779.31</v>
      </c>
      <c r="AL3" s="68">
        <v>1208753.05</v>
      </c>
      <c r="AM3" s="68">
        <v>347766.92</v>
      </c>
      <c r="AN3" s="68">
        <v>10502.07</v>
      </c>
      <c r="AO3" s="68">
        <v>1640950.22</v>
      </c>
      <c r="AP3" s="68">
        <v>1411601.01</v>
      </c>
      <c r="AQ3" s="68">
        <v>1305727.06</v>
      </c>
      <c r="AR3" s="68">
        <v>1149893.89</v>
      </c>
      <c r="AS3" s="68">
        <v>1084134.05</v>
      </c>
      <c r="AT3" s="68">
        <v>2078967.42</v>
      </c>
      <c r="AU3" s="68">
        <v>2219856.69</v>
      </c>
      <c r="AV3" s="68">
        <v>2572304.75</v>
      </c>
      <c r="AW3" s="68">
        <v>1981480.9</v>
      </c>
      <c r="AX3" s="68">
        <v>1970727.63</v>
      </c>
      <c r="AY3" s="68">
        <v>1981208.12</v>
      </c>
      <c r="AZ3" s="68">
        <v>897181.15</v>
      </c>
      <c r="BA3" s="68">
        <v>2238057.62</v>
      </c>
      <c r="BB3" s="68">
        <v>946717.72</v>
      </c>
      <c r="BC3" s="68">
        <v>800229.09</v>
      </c>
      <c r="BD3" s="68">
        <v>2292416.64</v>
      </c>
      <c r="BE3" s="68">
        <v>1475857.86</v>
      </c>
      <c r="BF3" s="68">
        <v>1746598.27</v>
      </c>
      <c r="BG3" s="68">
        <v>1550294.41</v>
      </c>
      <c r="BH3" s="68">
        <v>1142261.59</v>
      </c>
      <c r="BI3" s="68">
        <v>1117646.75</v>
      </c>
      <c r="BJ3" s="68">
        <v>1155094.88</v>
      </c>
      <c r="BK3" s="68">
        <v>1076727.87</v>
      </c>
      <c r="BL3" s="68">
        <v>718426.09</v>
      </c>
      <c r="BM3" s="68">
        <v>866718.59</v>
      </c>
      <c r="BN3" s="68">
        <v>964511.93</v>
      </c>
      <c r="BO3" s="68">
        <v>1125095.16</v>
      </c>
      <c r="BP3" s="68">
        <v>418188.8</v>
      </c>
      <c r="BQ3" s="68">
        <v>541651.79</v>
      </c>
      <c r="BR3" s="68">
        <v>303892.4</v>
      </c>
      <c r="BS3" s="68">
        <v>515857.4</v>
      </c>
      <c r="BT3" s="68">
        <v>490682.61</v>
      </c>
      <c r="BU3" s="68">
        <v>896820.83</v>
      </c>
      <c r="BV3" s="68">
        <v>346591.44</v>
      </c>
      <c r="BW3" s="68">
        <v>4822742.93</v>
      </c>
      <c r="BX3" s="68">
        <v>143966.84</v>
      </c>
      <c r="BY3" s="68">
        <v>307736.16</v>
      </c>
      <c r="BZ3" s="68">
        <v>241565.39</v>
      </c>
      <c r="CA3" s="68">
        <v>212222.14</v>
      </c>
      <c r="CB3" s="68">
        <v>316566.58</v>
      </c>
      <c r="CC3" s="68">
        <v>685760.61</v>
      </c>
      <c r="CD3" s="68">
        <v>312448.27</v>
      </c>
      <c r="CE3" s="68">
        <v>127106.91</v>
      </c>
      <c r="CF3" s="68">
        <v>32000</v>
      </c>
      <c r="CG3" s="68">
        <v>95400</v>
      </c>
      <c r="CH3" s="68">
        <v>63420</v>
      </c>
      <c r="CI3" s="68">
        <v>54318.3</v>
      </c>
      <c r="CJ3" s="68">
        <v>131200</v>
      </c>
      <c r="CK3" s="68">
        <v>68369.65</v>
      </c>
      <c r="CL3" s="68">
        <v>62137.72</v>
      </c>
      <c r="CM3" s="68">
        <v>81751.56</v>
      </c>
      <c r="CN3" s="68">
        <v>66450</v>
      </c>
      <c r="CO3" s="68">
        <v>32000</v>
      </c>
      <c r="CP3" s="68">
        <v>72644</v>
      </c>
      <c r="CQ3" s="68">
        <v>72135.51</v>
      </c>
      <c r="CR3" s="68">
        <v>32000</v>
      </c>
      <c r="CS3" s="68">
        <v>89779.15</v>
      </c>
      <c r="CT3" s="68">
        <v>32000</v>
      </c>
      <c r="CU3" s="68">
        <v>62977.21</v>
      </c>
      <c r="CV3" s="68">
        <v>60815.17</v>
      </c>
      <c r="CW3" s="68">
        <v>18206.9</v>
      </c>
      <c r="CX3" s="68">
        <v>29072.64</v>
      </c>
      <c r="CY3" s="68">
        <v>76976.27</v>
      </c>
      <c r="CZ3" s="68">
        <v>16000</v>
      </c>
      <c r="DA3" s="68">
        <v>37983.45</v>
      </c>
      <c r="DB3" s="68">
        <v>13318</v>
      </c>
      <c r="DC3" s="68">
        <v>128748.97</v>
      </c>
    </row>
    <row r="4" spans="1:107">
      <c r="A4" s="57" t="s">
        <v>93</v>
      </c>
      <c r="B4" s="68">
        <v>1141297.89</v>
      </c>
      <c r="C4" s="68">
        <v>699794.98</v>
      </c>
      <c r="D4" s="68">
        <v>56585.68</v>
      </c>
      <c r="E4" s="68">
        <v>68143.32</v>
      </c>
      <c r="F4" s="68">
        <v>884.11</v>
      </c>
      <c r="G4" s="68">
        <v>10725</v>
      </c>
      <c r="H4" s="68">
        <v>16269</v>
      </c>
      <c r="I4" s="68">
        <v>7670</v>
      </c>
      <c r="J4" s="68">
        <v>85250</v>
      </c>
      <c r="K4" s="68">
        <v>27779.65</v>
      </c>
      <c r="L4" s="68">
        <v>8795</v>
      </c>
      <c r="M4" s="68">
        <v>11797.65</v>
      </c>
      <c r="N4" s="68">
        <v>3775</v>
      </c>
      <c r="O4" s="68">
        <v>1615</v>
      </c>
      <c r="P4" s="68">
        <v>14035</v>
      </c>
      <c r="Q4" s="68">
        <v>9324.65</v>
      </c>
      <c r="R4" s="68">
        <v>9305</v>
      </c>
      <c r="S4" s="68">
        <v>21568</v>
      </c>
      <c r="T4" s="68">
        <v>24865</v>
      </c>
      <c r="U4" s="68">
        <v>30147</v>
      </c>
      <c r="V4" s="68">
        <v>0</v>
      </c>
      <c r="W4" s="68">
        <v>0</v>
      </c>
      <c r="X4" s="68">
        <v>41250</v>
      </c>
      <c r="Y4" s="68">
        <v>0</v>
      </c>
      <c r="Z4" s="68">
        <v>9447.99</v>
      </c>
      <c r="AA4" s="68">
        <v>0</v>
      </c>
      <c r="AB4" s="68">
        <v>10870.33</v>
      </c>
      <c r="AC4" s="68">
        <v>4975</v>
      </c>
      <c r="AD4" s="68">
        <v>1600</v>
      </c>
      <c r="AE4" s="68">
        <v>0</v>
      </c>
      <c r="AF4" s="68">
        <v>13288.98</v>
      </c>
      <c r="AG4" s="68">
        <v>21018.64</v>
      </c>
      <c r="AH4" s="68">
        <v>5236</v>
      </c>
      <c r="AI4" s="68">
        <v>17042.06</v>
      </c>
      <c r="AJ4" s="68">
        <v>32869.65</v>
      </c>
      <c r="AK4" s="68">
        <v>398.21</v>
      </c>
      <c r="AL4" s="68">
        <v>485.9</v>
      </c>
      <c r="AM4" s="68">
        <v>0</v>
      </c>
      <c r="AN4" s="68">
        <v>99.2</v>
      </c>
      <c r="AO4" s="68">
        <v>8290</v>
      </c>
      <c r="AP4" s="68">
        <v>17375</v>
      </c>
      <c r="AQ4" s="68">
        <v>14730</v>
      </c>
      <c r="AR4" s="68">
        <v>13745</v>
      </c>
      <c r="AS4" s="68">
        <v>10063</v>
      </c>
      <c r="AT4" s="68">
        <v>27950</v>
      </c>
      <c r="AU4" s="68">
        <v>33595.07</v>
      </c>
      <c r="AV4" s="68">
        <v>22800</v>
      </c>
      <c r="AW4" s="68">
        <v>54755.07</v>
      </c>
      <c r="AX4" s="68">
        <v>24875</v>
      </c>
      <c r="AY4" s="68">
        <v>34400</v>
      </c>
      <c r="AZ4" s="68">
        <v>14325</v>
      </c>
      <c r="BA4" s="68">
        <v>37123.71</v>
      </c>
      <c r="BB4" s="68">
        <v>9146.33</v>
      </c>
      <c r="BC4" s="68">
        <v>3775</v>
      </c>
      <c r="BD4" s="68">
        <v>25406</v>
      </c>
      <c r="BE4" s="68">
        <v>22025</v>
      </c>
      <c r="BF4" s="68">
        <v>42738.16</v>
      </c>
      <c r="BG4" s="68">
        <v>12375</v>
      </c>
      <c r="BH4" s="68">
        <v>22148.34</v>
      </c>
      <c r="BI4" s="68">
        <v>18000</v>
      </c>
      <c r="BJ4" s="68">
        <v>14925</v>
      </c>
      <c r="BK4" s="68">
        <v>18400.75</v>
      </c>
      <c r="BL4" s="68">
        <v>6100</v>
      </c>
      <c r="BM4" s="68">
        <v>12975</v>
      </c>
      <c r="BN4" s="68">
        <v>8525</v>
      </c>
      <c r="BO4" s="68">
        <v>19950</v>
      </c>
      <c r="BP4" s="68">
        <v>4500</v>
      </c>
      <c r="BQ4" s="68">
        <v>6275</v>
      </c>
      <c r="BR4" s="68">
        <v>7837</v>
      </c>
      <c r="BS4" s="68">
        <v>6925</v>
      </c>
      <c r="BT4" s="68">
        <v>10540</v>
      </c>
      <c r="BU4" s="68">
        <v>26465.63</v>
      </c>
      <c r="BV4" s="68">
        <v>10000</v>
      </c>
      <c r="BW4" s="68">
        <v>35945</v>
      </c>
      <c r="BX4" s="68">
        <v>1600</v>
      </c>
      <c r="BY4" s="68">
        <v>2100</v>
      </c>
      <c r="BZ4" s="68">
        <v>2425</v>
      </c>
      <c r="CA4" s="68">
        <v>2900</v>
      </c>
      <c r="CB4" s="68">
        <v>3424.04</v>
      </c>
      <c r="CC4" s="68">
        <v>7483.24</v>
      </c>
      <c r="CD4" s="68">
        <v>4481.32</v>
      </c>
      <c r="CE4" s="68">
        <v>0</v>
      </c>
      <c r="CF4" s="68">
        <v>0</v>
      </c>
      <c r="CG4" s="68">
        <v>1125</v>
      </c>
      <c r="CH4" s="68">
        <v>1125</v>
      </c>
      <c r="CI4" s="68">
        <v>739.6</v>
      </c>
      <c r="CJ4" s="68">
        <v>1184.33</v>
      </c>
      <c r="CK4" s="68">
        <v>1775</v>
      </c>
      <c r="CL4" s="68">
        <v>1125</v>
      </c>
      <c r="CM4" s="68">
        <v>1125</v>
      </c>
      <c r="CN4" s="68">
        <v>1125</v>
      </c>
      <c r="CO4" s="68">
        <v>0</v>
      </c>
      <c r="CP4" s="68">
        <v>1027.99</v>
      </c>
      <c r="CQ4" s="68">
        <v>1125</v>
      </c>
      <c r="CR4" s="68">
        <v>0</v>
      </c>
      <c r="CS4" s="68">
        <v>1125</v>
      </c>
      <c r="CT4" s="68">
        <v>0</v>
      </c>
      <c r="CU4" s="68">
        <v>0</v>
      </c>
      <c r="CV4" s="68">
        <v>475</v>
      </c>
      <c r="CW4" s="68">
        <v>0</v>
      </c>
      <c r="CX4" s="68">
        <v>0</v>
      </c>
      <c r="CY4" s="68">
        <v>475</v>
      </c>
      <c r="CZ4" s="68">
        <v>0</v>
      </c>
      <c r="DA4" s="68">
        <v>1883.6</v>
      </c>
      <c r="DB4" s="68">
        <v>0</v>
      </c>
      <c r="DC4" s="68">
        <v>941.8</v>
      </c>
    </row>
    <row r="5" spans="1:107">
      <c r="A5" s="57" t="s">
        <v>94</v>
      </c>
      <c r="B5" s="68">
        <v>4404691.28</v>
      </c>
      <c r="C5" s="68">
        <v>1566457.71</v>
      </c>
      <c r="D5" s="68">
        <v>1509378.28</v>
      </c>
      <c r="E5" s="68">
        <v>176820.39</v>
      </c>
      <c r="F5" s="68">
        <v>93096.34</v>
      </c>
      <c r="G5" s="68">
        <v>167004.24</v>
      </c>
      <c r="H5" s="68">
        <v>142009.49</v>
      </c>
      <c r="I5" s="68">
        <v>18205</v>
      </c>
      <c r="J5" s="68">
        <v>37108.46</v>
      </c>
      <c r="K5" s="68">
        <v>44871.72</v>
      </c>
      <c r="L5" s="68">
        <v>15587.4</v>
      </c>
      <c r="M5" s="68">
        <v>29482.04</v>
      </c>
      <c r="N5" s="68">
        <v>3643.46</v>
      </c>
      <c r="O5" s="68">
        <v>2456.72</v>
      </c>
      <c r="P5" s="68">
        <v>24057.51</v>
      </c>
      <c r="Q5" s="68">
        <v>22778.63</v>
      </c>
      <c r="R5" s="68">
        <v>24322.8</v>
      </c>
      <c r="S5" s="68">
        <v>48976.49</v>
      </c>
      <c r="T5" s="68">
        <v>44348.91</v>
      </c>
      <c r="U5" s="68">
        <v>365808.88</v>
      </c>
      <c r="V5" s="68">
        <v>748</v>
      </c>
      <c r="W5" s="68">
        <v>0</v>
      </c>
      <c r="X5" s="68">
        <v>14526.42</v>
      </c>
      <c r="Y5" s="68">
        <v>746.59</v>
      </c>
      <c r="Z5" s="68">
        <v>53298.69</v>
      </c>
      <c r="AA5" s="68">
        <v>0</v>
      </c>
      <c r="AB5" s="68">
        <v>43992.67</v>
      </c>
      <c r="AC5" s="68">
        <v>38011.21</v>
      </c>
      <c r="AD5" s="68">
        <v>23883.3</v>
      </c>
      <c r="AE5" s="68">
        <v>2361.51</v>
      </c>
      <c r="AF5" s="68">
        <v>25859.7</v>
      </c>
      <c r="AG5" s="68">
        <v>1156815.32</v>
      </c>
      <c r="AH5" s="68">
        <v>243131.61</v>
      </c>
      <c r="AI5" s="68">
        <v>83571.65</v>
      </c>
      <c r="AJ5" s="68">
        <v>67306.77</v>
      </c>
      <c r="AK5" s="68">
        <v>61402.72</v>
      </c>
      <c r="AL5" s="68">
        <v>24498.67</v>
      </c>
      <c r="AM5" s="68">
        <v>7194.95</v>
      </c>
      <c r="AN5" s="68">
        <v>222.04</v>
      </c>
      <c r="AO5" s="68">
        <v>36445.58</v>
      </c>
      <c r="AP5" s="68">
        <v>28896.83</v>
      </c>
      <c r="AQ5" s="68">
        <v>26724.94</v>
      </c>
      <c r="AR5" s="68">
        <v>23603.89</v>
      </c>
      <c r="AS5" s="68">
        <v>22244.67</v>
      </c>
      <c r="AT5" s="68">
        <v>63540.89</v>
      </c>
      <c r="AU5" s="68">
        <v>84034.29</v>
      </c>
      <c r="AV5" s="68">
        <v>89326.57</v>
      </c>
      <c r="AW5" s="68">
        <v>97546.93</v>
      </c>
      <c r="AX5" s="68">
        <v>65611.17</v>
      </c>
      <c r="AY5" s="68">
        <v>67307.15</v>
      </c>
      <c r="AZ5" s="68">
        <v>36454.95</v>
      </c>
      <c r="BA5" s="68">
        <v>94914.91</v>
      </c>
      <c r="BB5" s="68">
        <v>25361.42</v>
      </c>
      <c r="BC5" s="68">
        <v>19591.38</v>
      </c>
      <c r="BD5" s="68">
        <v>69302.83</v>
      </c>
      <c r="BE5" s="68">
        <v>56066.52</v>
      </c>
      <c r="BF5" s="68">
        <v>48766.04</v>
      </c>
      <c r="BG5" s="68">
        <v>47195.27</v>
      </c>
      <c r="BH5" s="68">
        <v>31071.21</v>
      </c>
      <c r="BI5" s="68">
        <v>34781.85</v>
      </c>
      <c r="BJ5" s="68">
        <v>40754.79</v>
      </c>
      <c r="BK5" s="68">
        <v>33459.08</v>
      </c>
      <c r="BL5" s="68">
        <v>21194.31</v>
      </c>
      <c r="BM5" s="68">
        <v>25382.09</v>
      </c>
      <c r="BN5" s="68">
        <v>32431.53</v>
      </c>
      <c r="BO5" s="68">
        <v>35987.82</v>
      </c>
      <c r="BP5" s="68">
        <v>11962.53</v>
      </c>
      <c r="BQ5" s="68">
        <v>14379.1</v>
      </c>
      <c r="BR5" s="68">
        <v>7433.05</v>
      </c>
      <c r="BS5" s="68">
        <v>18202.98</v>
      </c>
      <c r="BT5" s="68">
        <v>14283.91</v>
      </c>
      <c r="BU5" s="68">
        <v>27986.92</v>
      </c>
      <c r="BV5" s="68">
        <v>15158.9</v>
      </c>
      <c r="BW5" s="68">
        <v>94028.85</v>
      </c>
      <c r="BX5" s="68">
        <v>4484.79</v>
      </c>
      <c r="BY5" s="68">
        <v>10310.78</v>
      </c>
      <c r="BZ5" s="68">
        <v>8351.99</v>
      </c>
      <c r="CA5" s="68">
        <v>8765.38</v>
      </c>
      <c r="CB5" s="68">
        <v>8096.03</v>
      </c>
      <c r="CC5" s="68">
        <v>17198.53</v>
      </c>
      <c r="CD5" s="68">
        <v>9145.61</v>
      </c>
      <c r="CE5" s="68">
        <v>3268.5</v>
      </c>
      <c r="CF5" s="68">
        <v>772.64</v>
      </c>
      <c r="CG5" s="68">
        <v>3171.4</v>
      </c>
      <c r="CH5" s="68">
        <v>1592.77</v>
      </c>
      <c r="CI5" s="68">
        <v>1101.65</v>
      </c>
      <c r="CJ5" s="68">
        <v>2627.2</v>
      </c>
      <c r="CK5" s="68">
        <v>1903.69</v>
      </c>
      <c r="CL5" s="68">
        <v>1644.77</v>
      </c>
      <c r="CM5" s="68">
        <v>2644.68</v>
      </c>
      <c r="CN5" s="68">
        <v>1480.65</v>
      </c>
      <c r="CO5" s="68">
        <v>724.64</v>
      </c>
      <c r="CP5" s="68">
        <v>2490.31</v>
      </c>
      <c r="CQ5" s="68">
        <v>1802.48</v>
      </c>
      <c r="CR5" s="68">
        <v>727.44</v>
      </c>
      <c r="CS5" s="68">
        <v>1920.13</v>
      </c>
      <c r="CT5" s="68">
        <v>842.58</v>
      </c>
      <c r="CU5" s="68">
        <v>1546.01</v>
      </c>
      <c r="CV5" s="68">
        <v>1499.62</v>
      </c>
      <c r="CW5" s="68">
        <v>383.34</v>
      </c>
      <c r="CX5" s="68">
        <v>608.25</v>
      </c>
      <c r="CY5" s="68">
        <v>1787.44</v>
      </c>
      <c r="CZ5" s="68">
        <v>342.03</v>
      </c>
      <c r="DA5" s="68">
        <v>788.87</v>
      </c>
      <c r="DB5" s="68">
        <v>339.77</v>
      </c>
      <c r="DC5" s="68">
        <v>2658.59</v>
      </c>
    </row>
    <row r="6" spans="1:107">
      <c r="A6" s="57" t="s">
        <v>95</v>
      </c>
      <c r="B6" s="68">
        <v>2942654.49</v>
      </c>
      <c r="C6" s="68">
        <v>418273.5</v>
      </c>
      <c r="D6" s="68">
        <v>2060</v>
      </c>
      <c r="E6" s="68">
        <v>0</v>
      </c>
      <c r="F6" s="68">
        <v>504</v>
      </c>
      <c r="G6" s="68">
        <v>0</v>
      </c>
      <c r="H6" s="68">
        <v>2509816.99</v>
      </c>
      <c r="I6" s="68">
        <v>12000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8">
        <v>0</v>
      </c>
      <c r="AC6" s="68">
        <v>0</v>
      </c>
      <c r="AD6" s="68">
        <v>0</v>
      </c>
      <c r="AE6" s="68">
        <v>0</v>
      </c>
      <c r="AF6" s="68">
        <v>0</v>
      </c>
      <c r="AG6" s="68">
        <v>2000</v>
      </c>
      <c r="AH6" s="68">
        <v>0</v>
      </c>
      <c r="AI6" s="68">
        <v>60</v>
      </c>
      <c r="AJ6" s="68">
        <v>0</v>
      </c>
      <c r="AK6" s="68">
        <v>504</v>
      </c>
      <c r="AL6" s="68">
        <v>0</v>
      </c>
      <c r="AM6" s="68">
        <v>0</v>
      </c>
      <c r="AN6" s="68">
        <v>0</v>
      </c>
      <c r="AO6" s="68">
        <v>313263.4</v>
      </c>
      <c r="AP6" s="68">
        <v>0</v>
      </c>
      <c r="AQ6" s="68">
        <v>0</v>
      </c>
      <c r="AR6" s="68">
        <v>0</v>
      </c>
      <c r="AS6" s="68">
        <v>0</v>
      </c>
      <c r="AT6" s="68">
        <v>0</v>
      </c>
      <c r="AU6" s="68">
        <v>0</v>
      </c>
      <c r="AV6" s="68">
        <v>0</v>
      </c>
      <c r="AW6" s="68">
        <v>0</v>
      </c>
      <c r="AX6" s="68">
        <v>465</v>
      </c>
      <c r="AY6" s="68">
        <v>0</v>
      </c>
      <c r="AZ6" s="68">
        <v>1460</v>
      </c>
      <c r="BA6" s="68">
        <v>12454.5</v>
      </c>
      <c r="BB6" s="68">
        <v>3904</v>
      </c>
      <c r="BC6" s="68">
        <v>2249.9</v>
      </c>
      <c r="BD6" s="68">
        <v>0</v>
      </c>
      <c r="BE6" s="68">
        <v>16942</v>
      </c>
      <c r="BF6" s="68">
        <v>40</v>
      </c>
      <c r="BG6" s="68">
        <v>0</v>
      </c>
      <c r="BH6" s="68">
        <v>16480</v>
      </c>
      <c r="BI6" s="68">
        <v>3898</v>
      </c>
      <c r="BJ6" s="68">
        <v>1200</v>
      </c>
      <c r="BK6" s="68">
        <v>6254</v>
      </c>
      <c r="BL6" s="68">
        <v>0</v>
      </c>
      <c r="BM6" s="68">
        <v>4256</v>
      </c>
      <c r="BN6" s="68">
        <v>4380</v>
      </c>
      <c r="BO6" s="68">
        <v>800</v>
      </c>
      <c r="BP6" s="68">
        <v>0</v>
      </c>
      <c r="BQ6" s="68">
        <v>800</v>
      </c>
      <c r="BR6" s="68">
        <v>1668</v>
      </c>
      <c r="BS6" s="68">
        <v>0</v>
      </c>
      <c r="BT6" s="68">
        <v>0</v>
      </c>
      <c r="BU6" s="68">
        <v>3633.57</v>
      </c>
      <c r="BV6" s="68">
        <v>0</v>
      </c>
      <c r="BW6" s="68">
        <v>8642.8</v>
      </c>
      <c r="BX6" s="68">
        <v>0</v>
      </c>
      <c r="BY6" s="68">
        <v>900</v>
      </c>
      <c r="BZ6" s="68">
        <v>818.5</v>
      </c>
      <c r="CA6" s="68">
        <v>0</v>
      </c>
      <c r="CB6" s="68">
        <v>0</v>
      </c>
      <c r="CC6" s="68">
        <v>4830</v>
      </c>
      <c r="CD6" s="68">
        <v>0</v>
      </c>
      <c r="CE6" s="68">
        <v>309</v>
      </c>
      <c r="CF6" s="68">
        <v>0</v>
      </c>
      <c r="CG6" s="68">
        <v>280</v>
      </c>
      <c r="CH6" s="68">
        <v>0</v>
      </c>
      <c r="CI6" s="68">
        <v>1379.14</v>
      </c>
      <c r="CJ6" s="68">
        <v>0</v>
      </c>
      <c r="CK6" s="68">
        <v>0</v>
      </c>
      <c r="CL6" s="68">
        <v>2088.29</v>
      </c>
      <c r="CM6" s="68">
        <v>200</v>
      </c>
      <c r="CN6" s="68">
        <v>450</v>
      </c>
      <c r="CO6" s="68">
        <v>0</v>
      </c>
      <c r="CP6" s="68">
        <v>0</v>
      </c>
      <c r="CQ6" s="68">
        <v>0</v>
      </c>
      <c r="CR6" s="68">
        <v>0</v>
      </c>
      <c r="CS6" s="68">
        <v>900</v>
      </c>
      <c r="CT6" s="68">
        <v>0</v>
      </c>
      <c r="CU6" s="68">
        <v>2589.4</v>
      </c>
      <c r="CV6" s="68">
        <v>0</v>
      </c>
      <c r="CW6" s="68">
        <v>0</v>
      </c>
      <c r="CX6" s="68">
        <v>238</v>
      </c>
      <c r="CY6" s="68">
        <v>500</v>
      </c>
      <c r="CZ6" s="68">
        <v>0</v>
      </c>
      <c r="DA6" s="68">
        <v>0</v>
      </c>
      <c r="DB6" s="68">
        <v>0</v>
      </c>
      <c r="DC6" s="68">
        <v>0</v>
      </c>
    </row>
    <row r="7" spans="1:107">
      <c r="A7" s="57" t="s">
        <v>96</v>
      </c>
      <c r="B7" s="68">
        <v>27053592.63</v>
      </c>
      <c r="C7" s="68">
        <v>15069049.95</v>
      </c>
      <c r="D7" s="68">
        <v>2608016.13</v>
      </c>
      <c r="E7" s="68">
        <v>2060613.9</v>
      </c>
      <c r="F7" s="68">
        <v>1362075.28</v>
      </c>
      <c r="G7" s="68">
        <v>646914</v>
      </c>
      <c r="H7" s="68">
        <v>-174720.2</v>
      </c>
      <c r="I7" s="68">
        <v>221709.56</v>
      </c>
      <c r="J7" s="68">
        <v>452392.73</v>
      </c>
      <c r="K7" s="68">
        <v>546483.23</v>
      </c>
      <c r="L7" s="68">
        <v>170392.41</v>
      </c>
      <c r="M7" s="68">
        <v>318859.6</v>
      </c>
      <c r="N7" s="68">
        <v>45971.92</v>
      </c>
      <c r="O7" s="68">
        <v>42844.04</v>
      </c>
      <c r="P7" s="68">
        <v>275825.59</v>
      </c>
      <c r="Q7" s="68">
        <v>245186.56</v>
      </c>
      <c r="R7" s="68">
        <v>261760.2</v>
      </c>
      <c r="S7" s="68">
        <v>596561.97</v>
      </c>
      <c r="T7" s="68">
        <v>549193.93</v>
      </c>
      <c r="U7" s="68">
        <v>920099.08</v>
      </c>
      <c r="V7" s="68">
        <v>6256.22</v>
      </c>
      <c r="W7" s="68">
        <v>0</v>
      </c>
      <c r="X7" s="68">
        <v>174864.01</v>
      </c>
      <c r="Y7" s="68">
        <v>0</v>
      </c>
      <c r="Z7" s="68">
        <v>587416.34</v>
      </c>
      <c r="AA7" s="68">
        <v>0</v>
      </c>
      <c r="AB7" s="68">
        <v>560602.74</v>
      </c>
      <c r="AC7" s="68">
        <v>443273.55</v>
      </c>
      <c r="AD7" s="68">
        <v>294172.26</v>
      </c>
      <c r="AE7" s="68">
        <v>285</v>
      </c>
      <c r="AF7" s="68">
        <v>244823.72</v>
      </c>
      <c r="AG7" s="68">
        <v>746858.59</v>
      </c>
      <c r="AH7" s="68">
        <v>639287.5</v>
      </c>
      <c r="AI7" s="68">
        <v>977046.32</v>
      </c>
      <c r="AJ7" s="68">
        <v>825296.45</v>
      </c>
      <c r="AK7" s="68">
        <v>1034321.75</v>
      </c>
      <c r="AL7" s="68">
        <v>220641.96</v>
      </c>
      <c r="AM7" s="68">
        <v>107111.57</v>
      </c>
      <c r="AN7" s="68">
        <v>2810.08</v>
      </c>
      <c r="AO7" s="68">
        <v>231646.14</v>
      </c>
      <c r="AP7" s="68">
        <v>346558.29</v>
      </c>
      <c r="AQ7" s="68">
        <v>328179.95</v>
      </c>
      <c r="AR7" s="68">
        <v>296052.66</v>
      </c>
      <c r="AS7" s="68">
        <v>248135.64</v>
      </c>
      <c r="AT7" s="68">
        <v>656851.21</v>
      </c>
      <c r="AU7" s="68">
        <v>660313.77</v>
      </c>
      <c r="AV7" s="68">
        <v>729226.1</v>
      </c>
      <c r="AW7" s="68">
        <v>565132.38</v>
      </c>
      <c r="AX7" s="68">
        <v>640646.98</v>
      </c>
      <c r="AY7" s="68">
        <v>596307.56</v>
      </c>
      <c r="AZ7" s="68">
        <v>233517.29</v>
      </c>
      <c r="BA7" s="68">
        <v>725916.45</v>
      </c>
      <c r="BB7" s="68">
        <v>316348.54</v>
      </c>
      <c r="BC7" s="68">
        <v>251597.08</v>
      </c>
      <c r="BD7" s="68">
        <v>916733.78</v>
      </c>
      <c r="BE7" s="68">
        <v>643445.48</v>
      </c>
      <c r="BF7" s="68">
        <v>588578.68</v>
      </c>
      <c r="BG7" s="68">
        <v>496466.51</v>
      </c>
      <c r="BH7" s="68">
        <v>337842.44</v>
      </c>
      <c r="BI7" s="68">
        <v>193749.14</v>
      </c>
      <c r="BJ7" s="68">
        <v>327839.45</v>
      </c>
      <c r="BK7" s="68">
        <v>295726.14</v>
      </c>
      <c r="BL7" s="68">
        <v>169918.15</v>
      </c>
      <c r="BM7" s="68">
        <v>162909.05</v>
      </c>
      <c r="BN7" s="68">
        <v>310494.67</v>
      </c>
      <c r="BO7" s="68">
        <v>400035.58</v>
      </c>
      <c r="BP7" s="68">
        <v>116297.93</v>
      </c>
      <c r="BQ7" s="68">
        <v>115354.35</v>
      </c>
      <c r="BR7" s="68">
        <v>87910.65</v>
      </c>
      <c r="BS7" s="68">
        <v>147771.66</v>
      </c>
      <c r="BT7" s="68">
        <v>111789.1</v>
      </c>
      <c r="BU7" s="68">
        <v>201898.21</v>
      </c>
      <c r="BV7" s="68">
        <v>107794.24</v>
      </c>
      <c r="BW7" s="68">
        <v>1271860.58</v>
      </c>
      <c r="BX7" s="68">
        <v>67788.17</v>
      </c>
      <c r="BY7" s="68">
        <v>97087.35</v>
      </c>
      <c r="BZ7" s="68">
        <v>73400.55</v>
      </c>
      <c r="CA7" s="68">
        <v>60032.04</v>
      </c>
      <c r="CB7" s="68">
        <v>87531.39</v>
      </c>
      <c r="CC7" s="68">
        <v>289630.42</v>
      </c>
      <c r="CD7" s="68">
        <v>100511.46</v>
      </c>
      <c r="CE7" s="68">
        <v>48488.75</v>
      </c>
      <c r="CF7" s="68">
        <v>7380.13</v>
      </c>
      <c r="CG7" s="68">
        <v>30792.37</v>
      </c>
      <c r="CH7" s="68">
        <v>15271.61</v>
      </c>
      <c r="CI7" s="68">
        <v>18366.46</v>
      </c>
      <c r="CJ7" s="68">
        <v>32200.72</v>
      </c>
      <c r="CK7" s="68">
        <v>16784.75</v>
      </c>
      <c r="CL7" s="68">
        <v>21070.05</v>
      </c>
      <c r="CM7" s="68">
        <v>19259.37</v>
      </c>
      <c r="CN7" s="68">
        <v>13907</v>
      </c>
      <c r="CO7" s="68">
        <v>5094</v>
      </c>
      <c r="CP7" s="68">
        <v>29434.23</v>
      </c>
      <c r="CQ7" s="68">
        <v>12032.93</v>
      </c>
      <c r="CR7" s="68">
        <v>9302.97</v>
      </c>
      <c r="CS7" s="68">
        <v>22432.44</v>
      </c>
      <c r="CT7" s="68">
        <v>9208.18</v>
      </c>
      <c r="CU7" s="68">
        <v>26008.14</v>
      </c>
      <c r="CV7" s="68">
        <v>24469.4</v>
      </c>
      <c r="CW7" s="68">
        <v>0</v>
      </c>
      <c r="CX7" s="68">
        <v>6484.8</v>
      </c>
      <c r="CY7" s="68">
        <v>21997.51</v>
      </c>
      <c r="CZ7" s="68">
        <v>3198.44</v>
      </c>
      <c r="DA7" s="68">
        <v>23624.33</v>
      </c>
      <c r="DB7" s="68">
        <v>4525.75</v>
      </c>
      <c r="DC7" s="68">
        <v>40888.41</v>
      </c>
    </row>
    <row r="8" spans="1:107">
      <c r="A8" s="57" t="s">
        <v>97</v>
      </c>
      <c r="B8" s="68">
        <v>86818</v>
      </c>
      <c r="C8" s="68">
        <v>86818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8">
        <v>0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0</v>
      </c>
      <c r="AV8" s="68">
        <v>0</v>
      </c>
      <c r="AW8" s="68">
        <v>0</v>
      </c>
      <c r="AX8" s="68">
        <v>0</v>
      </c>
      <c r="AY8" s="68">
        <v>0</v>
      </c>
      <c r="AZ8" s="68">
        <v>0</v>
      </c>
      <c r="BA8" s="68">
        <v>0</v>
      </c>
      <c r="BB8" s="68">
        <v>0</v>
      </c>
      <c r="BC8" s="68">
        <v>0</v>
      </c>
      <c r="BD8" s="68">
        <v>0</v>
      </c>
      <c r="BE8" s="68">
        <v>0</v>
      </c>
      <c r="BF8" s="68">
        <v>0</v>
      </c>
      <c r="BG8" s="68">
        <v>0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M8" s="68">
        <v>0</v>
      </c>
      <c r="BN8" s="68">
        <v>0</v>
      </c>
      <c r="BO8" s="68">
        <v>0</v>
      </c>
      <c r="BP8" s="68">
        <v>0</v>
      </c>
      <c r="BQ8" s="68">
        <v>0</v>
      </c>
      <c r="BR8" s="68">
        <v>0</v>
      </c>
      <c r="BS8" s="68">
        <v>0</v>
      </c>
      <c r="BT8" s="68">
        <v>0</v>
      </c>
      <c r="BU8" s="68">
        <v>0</v>
      </c>
      <c r="BV8" s="68">
        <v>0</v>
      </c>
      <c r="BW8" s="68">
        <v>86818</v>
      </c>
      <c r="BX8" s="68">
        <v>0</v>
      </c>
      <c r="BY8" s="68">
        <v>0</v>
      </c>
      <c r="BZ8" s="68">
        <v>0</v>
      </c>
      <c r="CA8" s="68">
        <v>0</v>
      </c>
      <c r="CB8" s="68">
        <v>0</v>
      </c>
      <c r="CC8" s="68">
        <v>0</v>
      </c>
      <c r="CD8" s="68">
        <v>0</v>
      </c>
      <c r="CE8" s="68">
        <v>0</v>
      </c>
      <c r="CF8" s="68">
        <v>0</v>
      </c>
      <c r="CG8" s="68">
        <v>0</v>
      </c>
      <c r="CH8" s="68">
        <v>0</v>
      </c>
      <c r="CI8" s="68">
        <v>0</v>
      </c>
      <c r="CJ8" s="68">
        <v>0</v>
      </c>
      <c r="CK8" s="68">
        <v>0</v>
      </c>
      <c r="CL8" s="68">
        <v>0</v>
      </c>
      <c r="CM8" s="68">
        <v>0</v>
      </c>
      <c r="CN8" s="68">
        <v>0</v>
      </c>
      <c r="CO8" s="68">
        <v>0</v>
      </c>
      <c r="CP8" s="68">
        <v>0</v>
      </c>
      <c r="CQ8" s="68">
        <v>0</v>
      </c>
      <c r="CR8" s="68">
        <v>0</v>
      </c>
      <c r="CS8" s="68">
        <v>0</v>
      </c>
      <c r="CT8" s="68">
        <v>0</v>
      </c>
      <c r="CU8" s="68">
        <v>0</v>
      </c>
      <c r="CV8" s="68">
        <v>0</v>
      </c>
      <c r="CW8" s="68">
        <v>0</v>
      </c>
      <c r="CX8" s="68">
        <v>0</v>
      </c>
      <c r="CY8" s="68">
        <v>0</v>
      </c>
      <c r="CZ8" s="68">
        <v>0</v>
      </c>
      <c r="DA8" s="68">
        <v>0</v>
      </c>
      <c r="DB8" s="68">
        <v>0</v>
      </c>
      <c r="DC8" s="68">
        <v>0</v>
      </c>
    </row>
    <row r="9" spans="1:107">
      <c r="A9" s="57" t="s">
        <v>98</v>
      </c>
      <c r="B9" s="68">
        <v>210472.76</v>
      </c>
      <c r="C9" s="68">
        <v>178947.46</v>
      </c>
      <c r="D9" s="68">
        <v>0</v>
      </c>
      <c r="E9" s="68">
        <v>2821.5</v>
      </c>
      <c r="F9" s="68">
        <v>31126.6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-1211.4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8">
        <v>0</v>
      </c>
      <c r="AC9" s="68">
        <v>0</v>
      </c>
      <c r="AD9" s="68">
        <v>2821.5</v>
      </c>
      <c r="AE9" s="68">
        <v>0</v>
      </c>
      <c r="AF9" s="68">
        <v>0</v>
      </c>
      <c r="AG9" s="68">
        <v>0</v>
      </c>
      <c r="AH9" s="68">
        <v>0</v>
      </c>
      <c r="AI9" s="68">
        <v>0</v>
      </c>
      <c r="AJ9" s="68">
        <v>-1211.4</v>
      </c>
      <c r="AK9" s="68">
        <v>31126.6</v>
      </c>
      <c r="AL9" s="68">
        <v>0</v>
      </c>
      <c r="AM9" s="68">
        <v>0</v>
      </c>
      <c r="AN9" s="68">
        <v>0</v>
      </c>
      <c r="AO9" s="68">
        <v>0</v>
      </c>
      <c r="AP9" s="68">
        <v>0</v>
      </c>
      <c r="AQ9" s="68">
        <v>0</v>
      </c>
      <c r="AR9" s="68">
        <v>-1216.5</v>
      </c>
      <c r="AS9" s="68">
        <v>0</v>
      </c>
      <c r="AT9" s="68">
        <v>0</v>
      </c>
      <c r="AU9" s="68">
        <v>0</v>
      </c>
      <c r="AV9" s="68">
        <v>0</v>
      </c>
      <c r="AW9" s="68">
        <v>8328</v>
      </c>
      <c r="AX9" s="68">
        <v>0</v>
      </c>
      <c r="AY9" s="68">
        <v>0</v>
      </c>
      <c r="AZ9" s="68">
        <v>17862</v>
      </c>
      <c r="BA9" s="68">
        <v>0</v>
      </c>
      <c r="BB9" s="68">
        <v>0</v>
      </c>
      <c r="BC9" s="68">
        <v>4146</v>
      </c>
      <c r="BD9" s="68">
        <v>87277.96</v>
      </c>
      <c r="BE9" s="68">
        <v>0</v>
      </c>
      <c r="BF9" s="68">
        <v>4182</v>
      </c>
      <c r="BG9" s="68">
        <v>0</v>
      </c>
      <c r="BH9" s="68">
        <v>0</v>
      </c>
      <c r="BI9" s="68">
        <v>0</v>
      </c>
      <c r="BJ9" s="68">
        <v>4182</v>
      </c>
      <c r="BK9" s="68">
        <v>0</v>
      </c>
      <c r="BL9" s="68">
        <v>8328</v>
      </c>
      <c r="BM9" s="68">
        <v>33384</v>
      </c>
      <c r="BN9" s="68">
        <v>0</v>
      </c>
      <c r="BO9" s="68">
        <v>0</v>
      </c>
      <c r="BP9" s="68">
        <v>0</v>
      </c>
      <c r="BQ9" s="68">
        <v>0</v>
      </c>
      <c r="BR9" s="68">
        <v>0</v>
      </c>
      <c r="BS9" s="68">
        <v>0</v>
      </c>
      <c r="BT9" s="68">
        <v>4182</v>
      </c>
      <c r="BU9" s="68">
        <v>0</v>
      </c>
      <c r="BV9" s="68">
        <v>0</v>
      </c>
      <c r="BW9" s="68">
        <v>0</v>
      </c>
      <c r="BX9" s="68">
        <v>0</v>
      </c>
      <c r="BY9" s="68">
        <v>4146</v>
      </c>
      <c r="BZ9" s="68">
        <v>0</v>
      </c>
      <c r="CA9" s="68">
        <v>0</v>
      </c>
      <c r="CB9" s="68">
        <v>0</v>
      </c>
      <c r="CC9" s="68">
        <v>0</v>
      </c>
      <c r="CD9" s="68">
        <v>4146</v>
      </c>
      <c r="CE9" s="68">
        <v>0</v>
      </c>
      <c r="CF9" s="68">
        <v>0</v>
      </c>
      <c r="CG9" s="68">
        <v>0</v>
      </c>
      <c r="CH9" s="68">
        <v>0</v>
      </c>
      <c r="CI9" s="68">
        <v>0</v>
      </c>
      <c r="CJ9" s="68">
        <v>0</v>
      </c>
      <c r="CK9" s="68">
        <v>0</v>
      </c>
      <c r="CL9" s="68">
        <v>0</v>
      </c>
      <c r="CM9" s="68">
        <v>0</v>
      </c>
      <c r="CN9" s="68">
        <v>0</v>
      </c>
      <c r="CO9" s="68">
        <v>0</v>
      </c>
      <c r="CP9" s="68">
        <v>0</v>
      </c>
      <c r="CQ9" s="68">
        <v>0</v>
      </c>
      <c r="CR9" s="68">
        <v>0</v>
      </c>
      <c r="CS9" s="68">
        <v>0</v>
      </c>
      <c r="CT9" s="68">
        <v>0</v>
      </c>
      <c r="CU9" s="68">
        <v>0</v>
      </c>
      <c r="CV9" s="68">
        <v>0</v>
      </c>
      <c r="CW9" s="68">
        <v>0</v>
      </c>
      <c r="CX9" s="68">
        <v>0</v>
      </c>
      <c r="CY9" s="68">
        <v>0</v>
      </c>
      <c r="CZ9" s="68">
        <v>0</v>
      </c>
      <c r="DA9" s="68">
        <v>0</v>
      </c>
      <c r="DB9" s="68">
        <v>0</v>
      </c>
      <c r="DC9" s="68">
        <v>0</v>
      </c>
    </row>
    <row r="10" spans="1:107">
      <c r="A10" s="57" t="s">
        <v>99</v>
      </c>
      <c r="B10" s="68">
        <v>2082860</v>
      </c>
      <c r="C10" s="68">
        <v>862320</v>
      </c>
      <c r="D10" s="68">
        <v>292760</v>
      </c>
      <c r="E10" s="68">
        <v>176280</v>
      </c>
      <c r="F10" s="68">
        <v>137560</v>
      </c>
      <c r="G10" s="68">
        <v>8280</v>
      </c>
      <c r="H10" s="68">
        <v>2940</v>
      </c>
      <c r="I10" s="68">
        <v>23640</v>
      </c>
      <c r="J10" s="68">
        <v>50220</v>
      </c>
      <c r="K10" s="68">
        <v>65400</v>
      </c>
      <c r="L10" s="68">
        <v>19740</v>
      </c>
      <c r="M10" s="68">
        <v>29180</v>
      </c>
      <c r="N10" s="68">
        <v>4620</v>
      </c>
      <c r="O10" s="68">
        <v>5640</v>
      </c>
      <c r="P10" s="68">
        <v>28920</v>
      </c>
      <c r="Q10" s="68">
        <v>25200</v>
      </c>
      <c r="R10" s="68">
        <v>25680</v>
      </c>
      <c r="S10" s="68">
        <v>64460</v>
      </c>
      <c r="T10" s="68">
        <v>62040</v>
      </c>
      <c r="U10" s="68">
        <v>116760</v>
      </c>
      <c r="V10" s="68">
        <v>420</v>
      </c>
      <c r="W10" s="68">
        <v>0</v>
      </c>
      <c r="X10" s="68">
        <v>15180</v>
      </c>
      <c r="Y10" s="68">
        <v>0</v>
      </c>
      <c r="Z10" s="68">
        <v>56140</v>
      </c>
      <c r="AA10" s="68">
        <v>0</v>
      </c>
      <c r="AB10" s="68">
        <v>44940</v>
      </c>
      <c r="AC10" s="68">
        <v>36500</v>
      </c>
      <c r="AD10" s="68">
        <v>23520</v>
      </c>
      <c r="AE10" s="68">
        <v>0</v>
      </c>
      <c r="AF10" s="68">
        <v>26380</v>
      </c>
      <c r="AG10" s="68">
        <v>83640</v>
      </c>
      <c r="AH10" s="68">
        <v>74560</v>
      </c>
      <c r="AI10" s="68">
        <v>108180</v>
      </c>
      <c r="AJ10" s="68">
        <v>80200</v>
      </c>
      <c r="AK10" s="68">
        <v>104300</v>
      </c>
      <c r="AL10" s="68">
        <v>21280</v>
      </c>
      <c r="AM10" s="68">
        <v>11980</v>
      </c>
      <c r="AN10" s="68">
        <v>600</v>
      </c>
      <c r="AO10" s="68">
        <v>21900</v>
      </c>
      <c r="AP10" s="68">
        <v>33240</v>
      </c>
      <c r="AQ10" s="68">
        <v>30520</v>
      </c>
      <c r="AR10" s="68">
        <v>30300</v>
      </c>
      <c r="AS10" s="68">
        <v>28100</v>
      </c>
      <c r="AT10" s="68">
        <v>22260</v>
      </c>
      <c r="AU10" s="68">
        <v>20160</v>
      </c>
      <c r="AV10" s="68">
        <v>33180</v>
      </c>
      <c r="AW10" s="68">
        <v>19320</v>
      </c>
      <c r="AX10" s="68">
        <v>23940</v>
      </c>
      <c r="AY10" s="68">
        <v>19740</v>
      </c>
      <c r="AZ10" s="68">
        <v>10080</v>
      </c>
      <c r="BA10" s="68">
        <v>32760</v>
      </c>
      <c r="BB10" s="68">
        <v>10080</v>
      </c>
      <c r="BC10" s="68">
        <v>15960</v>
      </c>
      <c r="BD10" s="68">
        <v>18480</v>
      </c>
      <c r="BE10" s="68">
        <v>26880</v>
      </c>
      <c r="BF10" s="68">
        <v>20580</v>
      </c>
      <c r="BG10" s="68">
        <v>21000</v>
      </c>
      <c r="BH10" s="68">
        <v>13440</v>
      </c>
      <c r="BI10" s="68">
        <v>10920</v>
      </c>
      <c r="BJ10" s="68">
        <v>10080</v>
      </c>
      <c r="BK10" s="68">
        <v>13440</v>
      </c>
      <c r="BL10" s="68">
        <v>12180</v>
      </c>
      <c r="BM10" s="68">
        <v>7140</v>
      </c>
      <c r="BN10" s="68">
        <v>13440</v>
      </c>
      <c r="BO10" s="68">
        <v>16800</v>
      </c>
      <c r="BP10" s="68">
        <v>6720</v>
      </c>
      <c r="BQ10" s="68">
        <v>6720</v>
      </c>
      <c r="BR10" s="68">
        <v>6720</v>
      </c>
      <c r="BS10" s="68">
        <v>6720</v>
      </c>
      <c r="BT10" s="68">
        <v>6720</v>
      </c>
      <c r="BU10" s="68">
        <v>6720</v>
      </c>
      <c r="BV10" s="68">
        <v>7140</v>
      </c>
      <c r="BW10" s="68">
        <v>147800</v>
      </c>
      <c r="BX10" s="68">
        <v>7140</v>
      </c>
      <c r="BY10" s="68">
        <v>6720</v>
      </c>
      <c r="BZ10" s="68">
        <v>3360</v>
      </c>
      <c r="CA10" s="68">
        <v>7140</v>
      </c>
      <c r="CB10" s="68">
        <v>6720</v>
      </c>
      <c r="CC10" s="68">
        <v>24360</v>
      </c>
      <c r="CD10" s="68">
        <v>10080</v>
      </c>
      <c r="CE10" s="68">
        <v>4200</v>
      </c>
      <c r="CF10" s="68">
        <v>1680</v>
      </c>
      <c r="CG10" s="68">
        <v>5880</v>
      </c>
      <c r="CH10" s="68">
        <v>2940</v>
      </c>
      <c r="CI10" s="68">
        <v>420</v>
      </c>
      <c r="CJ10" s="68">
        <v>3360</v>
      </c>
      <c r="CK10" s="68">
        <v>2940</v>
      </c>
      <c r="CL10" s="68">
        <v>3360</v>
      </c>
      <c r="CM10" s="68">
        <v>2940</v>
      </c>
      <c r="CN10" s="68">
        <v>2940</v>
      </c>
      <c r="CO10" s="68">
        <v>1680</v>
      </c>
      <c r="CP10" s="68">
        <v>2940</v>
      </c>
      <c r="CQ10" s="68">
        <v>2940</v>
      </c>
      <c r="CR10" s="68">
        <v>1680</v>
      </c>
      <c r="CS10" s="68">
        <v>3920</v>
      </c>
      <c r="CT10" s="68">
        <v>1680</v>
      </c>
      <c r="CU10" s="68">
        <v>2940</v>
      </c>
      <c r="CV10" s="68">
        <v>3360</v>
      </c>
      <c r="CW10" s="68">
        <v>960</v>
      </c>
      <c r="CX10" s="68">
        <v>1340</v>
      </c>
      <c r="CY10" s="68">
        <v>4620</v>
      </c>
      <c r="CZ10" s="68">
        <v>840</v>
      </c>
      <c r="DA10" s="68">
        <v>1460</v>
      </c>
      <c r="DB10" s="68">
        <v>420</v>
      </c>
      <c r="DC10" s="68">
        <v>4180</v>
      </c>
    </row>
    <row r="11" spans="1:107">
      <c r="A11" s="57" t="s">
        <v>100</v>
      </c>
      <c r="B11" s="68">
        <v>220731.59</v>
      </c>
      <c r="C11" s="68">
        <v>137469.28</v>
      </c>
      <c r="D11" s="68">
        <v>11048.42</v>
      </c>
      <c r="E11" s="68">
        <v>34654.88</v>
      </c>
      <c r="F11" s="68">
        <v>0</v>
      </c>
      <c r="G11" s="68">
        <v>0</v>
      </c>
      <c r="H11" s="68">
        <v>0</v>
      </c>
      <c r="I11" s="68">
        <v>0</v>
      </c>
      <c r="J11" s="68">
        <v>19139.71</v>
      </c>
      <c r="K11" s="68">
        <v>0</v>
      </c>
      <c r="L11" s="68">
        <v>0</v>
      </c>
      <c r="M11" s="68">
        <v>5603.24</v>
      </c>
      <c r="N11" s="68">
        <v>12816.06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34654.88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11048.42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68">
        <v>0</v>
      </c>
      <c r="AO11" s="68">
        <v>0</v>
      </c>
      <c r="AP11" s="68">
        <v>0</v>
      </c>
      <c r="AQ11" s="68">
        <v>0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</v>
      </c>
      <c r="BG11" s="68">
        <v>0</v>
      </c>
      <c r="BH11" s="68">
        <v>0</v>
      </c>
      <c r="BI11" s="68">
        <v>0</v>
      </c>
      <c r="BJ11" s="68">
        <v>0</v>
      </c>
      <c r="BK11" s="68">
        <v>0</v>
      </c>
      <c r="BL11" s="68">
        <v>0</v>
      </c>
      <c r="BM11" s="68">
        <v>0</v>
      </c>
      <c r="BN11" s="68">
        <v>0</v>
      </c>
      <c r="BO11" s="68">
        <v>0</v>
      </c>
      <c r="BP11" s="68">
        <v>0</v>
      </c>
      <c r="BQ11" s="68">
        <v>0</v>
      </c>
      <c r="BR11" s="68">
        <v>0</v>
      </c>
      <c r="BS11" s="68">
        <v>0</v>
      </c>
      <c r="BT11" s="68">
        <v>0</v>
      </c>
      <c r="BU11" s="68">
        <v>0</v>
      </c>
      <c r="BV11" s="68">
        <v>0</v>
      </c>
      <c r="BW11" s="68">
        <v>137469.28</v>
      </c>
      <c r="BX11" s="68">
        <v>0</v>
      </c>
      <c r="BY11" s="68">
        <v>0</v>
      </c>
      <c r="BZ11" s="68">
        <v>0</v>
      </c>
      <c r="CA11" s="68">
        <v>0</v>
      </c>
      <c r="CB11" s="68">
        <v>0</v>
      </c>
      <c r="CC11" s="68">
        <v>0</v>
      </c>
      <c r="CD11" s="68">
        <v>0</v>
      </c>
      <c r="CE11" s="68">
        <v>0</v>
      </c>
      <c r="CF11" s="68">
        <v>0</v>
      </c>
      <c r="CG11" s="68">
        <v>0</v>
      </c>
      <c r="CH11" s="68">
        <v>0</v>
      </c>
      <c r="CI11" s="68">
        <v>0</v>
      </c>
      <c r="CJ11" s="68">
        <v>0</v>
      </c>
      <c r="CK11" s="68">
        <v>0</v>
      </c>
      <c r="CL11" s="68">
        <v>0</v>
      </c>
      <c r="CM11" s="68">
        <v>0</v>
      </c>
      <c r="CN11" s="68">
        <v>0</v>
      </c>
      <c r="CO11" s="68">
        <v>0</v>
      </c>
      <c r="CP11" s="68">
        <v>0</v>
      </c>
      <c r="CQ11" s="68">
        <v>0</v>
      </c>
      <c r="CR11" s="68">
        <v>0</v>
      </c>
      <c r="CS11" s="68">
        <v>0</v>
      </c>
      <c r="CT11" s="68">
        <v>0</v>
      </c>
      <c r="CU11" s="68">
        <v>0</v>
      </c>
      <c r="CV11" s="68">
        <v>0</v>
      </c>
      <c r="CW11" s="68">
        <v>0</v>
      </c>
      <c r="CX11" s="68">
        <v>0</v>
      </c>
      <c r="CY11" s="68">
        <v>0</v>
      </c>
      <c r="CZ11" s="68">
        <v>0</v>
      </c>
      <c r="DA11" s="68">
        <v>0</v>
      </c>
      <c r="DB11" s="68">
        <v>0</v>
      </c>
      <c r="DC11" s="68">
        <v>0</v>
      </c>
    </row>
    <row r="12" spans="1:107">
      <c r="A12" s="57" t="s">
        <v>101</v>
      </c>
      <c r="B12" s="68">
        <v>6830074.48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6830074.48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</v>
      </c>
      <c r="AI12" s="68">
        <v>0</v>
      </c>
      <c r="AJ12" s="68">
        <v>0</v>
      </c>
      <c r="AK12" s="68">
        <v>0</v>
      </c>
      <c r="AL12" s="68">
        <v>0</v>
      </c>
      <c r="AM12" s="68">
        <v>0</v>
      </c>
      <c r="AN12" s="68">
        <v>0</v>
      </c>
      <c r="AO12" s="68">
        <v>0</v>
      </c>
      <c r="AP12" s="68">
        <v>0</v>
      </c>
      <c r="AQ12" s="68">
        <v>0</v>
      </c>
      <c r="AR12" s="68">
        <v>0</v>
      </c>
      <c r="AS12" s="68">
        <v>0</v>
      </c>
      <c r="AT12" s="68">
        <v>0</v>
      </c>
      <c r="AU12" s="68">
        <v>0</v>
      </c>
      <c r="AV12" s="68">
        <v>0</v>
      </c>
      <c r="AW12" s="68">
        <v>0</v>
      </c>
      <c r="AX12" s="68">
        <v>0</v>
      </c>
      <c r="AY12" s="68">
        <v>0</v>
      </c>
      <c r="AZ12" s="68">
        <v>0</v>
      </c>
      <c r="BA12" s="68">
        <v>0</v>
      </c>
      <c r="BB12" s="68">
        <v>0</v>
      </c>
      <c r="BC12" s="68">
        <v>0</v>
      </c>
      <c r="BD12" s="68">
        <v>0</v>
      </c>
      <c r="BE12" s="68">
        <v>0</v>
      </c>
      <c r="BF12" s="68">
        <v>0</v>
      </c>
      <c r="BG12" s="68">
        <v>0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0</v>
      </c>
      <c r="BO12" s="68">
        <v>0</v>
      </c>
      <c r="BP12" s="68">
        <v>0</v>
      </c>
      <c r="BQ12" s="68">
        <v>0</v>
      </c>
      <c r="BR12" s="68">
        <v>0</v>
      </c>
      <c r="BS12" s="68">
        <v>0</v>
      </c>
      <c r="BT12" s="68">
        <v>0</v>
      </c>
      <c r="BU12" s="68">
        <v>0</v>
      </c>
      <c r="BV12" s="68">
        <v>0</v>
      </c>
      <c r="BW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J12" s="68">
        <v>0</v>
      </c>
      <c r="CK12" s="68">
        <v>0</v>
      </c>
      <c r="CL12" s="68">
        <v>0</v>
      </c>
      <c r="CM12" s="68">
        <v>0</v>
      </c>
      <c r="CN12" s="68">
        <v>0</v>
      </c>
      <c r="CO12" s="68">
        <v>0</v>
      </c>
      <c r="CP12" s="68">
        <v>0</v>
      </c>
      <c r="CQ12" s="68">
        <v>0</v>
      </c>
      <c r="CR12" s="68">
        <v>0</v>
      </c>
      <c r="CS12" s="68">
        <v>0</v>
      </c>
      <c r="CT12" s="68">
        <v>0</v>
      </c>
      <c r="CU12" s="68">
        <v>0</v>
      </c>
      <c r="CV12" s="68">
        <v>0</v>
      </c>
      <c r="CW12" s="68">
        <v>0</v>
      </c>
      <c r="CX12" s="68">
        <v>0</v>
      </c>
      <c r="CY12" s="68">
        <v>0</v>
      </c>
      <c r="CZ12" s="68">
        <v>0</v>
      </c>
      <c r="DA12" s="68">
        <v>0</v>
      </c>
      <c r="DB12" s="68">
        <v>0</v>
      </c>
      <c r="DC12" s="68">
        <v>0</v>
      </c>
    </row>
    <row r="13" s="61" customFormat="1" spans="1:107">
      <c r="A13" s="69" t="s">
        <v>102</v>
      </c>
      <c r="B13" s="70">
        <v>155701263.19</v>
      </c>
      <c r="C13" s="70">
        <v>70643323.84</v>
      </c>
      <c r="D13" s="70">
        <v>18517101.95</v>
      </c>
      <c r="E13" s="70">
        <v>11381929.17</v>
      </c>
      <c r="F13" s="70">
        <v>6316545.61</v>
      </c>
      <c r="G13" s="70">
        <v>9184328.18</v>
      </c>
      <c r="H13" s="70">
        <v>9586249.76</v>
      </c>
      <c r="I13" s="70">
        <v>1169834.11</v>
      </c>
      <c r="J13" s="70">
        <v>2580767.54</v>
      </c>
      <c r="K13" s="70">
        <v>2862720.76</v>
      </c>
      <c r="L13" s="70">
        <v>974144.63</v>
      </c>
      <c r="M13" s="70">
        <v>1868258.41</v>
      </c>
      <c r="N13" s="70">
        <v>280350.95</v>
      </c>
      <c r="O13" s="70">
        <v>169751.12</v>
      </c>
      <c r="P13" s="70">
        <v>1516793.52</v>
      </c>
      <c r="Q13" s="70">
        <v>1416220.97</v>
      </c>
      <c r="R13" s="70">
        <v>1511528.11</v>
      </c>
      <c r="S13" s="70">
        <v>3114719.39</v>
      </c>
      <c r="T13" s="70">
        <v>2835853.72</v>
      </c>
      <c r="U13" s="70">
        <v>5422602.28</v>
      </c>
      <c r="V13" s="70">
        <v>44404.22</v>
      </c>
      <c r="W13" s="70">
        <v>0</v>
      </c>
      <c r="X13" s="70">
        <v>1248249.11</v>
      </c>
      <c r="Y13" s="70">
        <v>38075.92</v>
      </c>
      <c r="Z13" s="70">
        <v>3315097.61</v>
      </c>
      <c r="AA13" s="70">
        <v>0</v>
      </c>
      <c r="AB13" s="70">
        <v>2815100.74</v>
      </c>
      <c r="AC13" s="70">
        <v>2337247.38</v>
      </c>
      <c r="AD13" s="70">
        <v>1507436.24</v>
      </c>
      <c r="AE13" s="70">
        <v>120722.17</v>
      </c>
      <c r="AF13" s="70">
        <v>1669201.09</v>
      </c>
      <c r="AG13" s="70">
        <v>5073988.87</v>
      </c>
      <c r="AH13" s="70">
        <v>6994535.92</v>
      </c>
      <c r="AI13" s="70">
        <v>4779376.07</v>
      </c>
      <c r="AJ13" s="70">
        <v>4289601.56</v>
      </c>
      <c r="AK13" s="70">
        <v>4366832.59</v>
      </c>
      <c r="AL13" s="70">
        <v>1475659.58</v>
      </c>
      <c r="AM13" s="70">
        <v>474053.44</v>
      </c>
      <c r="AN13" s="70">
        <v>14233.39</v>
      </c>
      <c r="AO13" s="70">
        <v>2252495.34</v>
      </c>
      <c r="AP13" s="70">
        <v>1837671.13</v>
      </c>
      <c r="AQ13" s="70">
        <v>1705881.95</v>
      </c>
      <c r="AR13" s="70">
        <v>1512378.94</v>
      </c>
      <c r="AS13" s="70">
        <v>1392677.36</v>
      </c>
      <c r="AT13" s="70">
        <v>2849569.52</v>
      </c>
      <c r="AU13" s="70">
        <v>3017959.82</v>
      </c>
      <c r="AV13" s="70">
        <v>3446837.42</v>
      </c>
      <c r="AW13" s="70">
        <v>2726563.28</v>
      </c>
      <c r="AX13" s="70">
        <v>2726265.78</v>
      </c>
      <c r="AY13" s="70">
        <v>2698962.83</v>
      </c>
      <c r="AZ13" s="70">
        <v>1210880.39</v>
      </c>
      <c r="BA13" s="70">
        <v>3141227.19</v>
      </c>
      <c r="BB13" s="70">
        <v>1311558.01</v>
      </c>
      <c r="BC13" s="70">
        <v>1097548.45</v>
      </c>
      <c r="BD13" s="70">
        <v>3409617.21</v>
      </c>
      <c r="BE13" s="70">
        <v>2241216.86</v>
      </c>
      <c r="BF13" s="70">
        <v>2451483.15</v>
      </c>
      <c r="BG13" s="70">
        <v>2127331.19</v>
      </c>
      <c r="BH13" s="70">
        <v>1563243.58</v>
      </c>
      <c r="BI13" s="70">
        <v>1378995.74</v>
      </c>
      <c r="BJ13" s="70">
        <v>1554076.12</v>
      </c>
      <c r="BK13" s="70">
        <v>1444007.84</v>
      </c>
      <c r="BL13" s="70">
        <v>936146.55</v>
      </c>
      <c r="BM13" s="70">
        <v>1112764.73</v>
      </c>
      <c r="BN13" s="70">
        <v>1333783.13</v>
      </c>
      <c r="BO13" s="70">
        <v>1598668.56</v>
      </c>
      <c r="BP13" s="70">
        <v>557669.26</v>
      </c>
      <c r="BQ13" s="70">
        <v>685180.24</v>
      </c>
      <c r="BR13" s="70">
        <v>415461.1</v>
      </c>
      <c r="BS13" s="70">
        <v>695477.04</v>
      </c>
      <c r="BT13" s="70">
        <v>638197.62</v>
      </c>
      <c r="BU13" s="70">
        <v>1163525.16</v>
      </c>
      <c r="BV13" s="70">
        <v>486684.58</v>
      </c>
      <c r="BW13" s="70">
        <v>6605307.44</v>
      </c>
      <c r="BX13" s="70">
        <v>224979.8</v>
      </c>
      <c r="BY13" s="70">
        <v>429000.29</v>
      </c>
      <c r="BZ13" s="70">
        <v>329921.43</v>
      </c>
      <c r="CA13" s="70">
        <v>291059.56</v>
      </c>
      <c r="CB13" s="70">
        <v>422338.04</v>
      </c>
      <c r="CC13" s="70">
        <v>1029262.8</v>
      </c>
      <c r="CD13" s="70">
        <v>440812.66</v>
      </c>
      <c r="CE13" s="70">
        <v>183373.16</v>
      </c>
      <c r="CF13" s="70">
        <v>41832.77</v>
      </c>
      <c r="CG13" s="70">
        <v>136648.77</v>
      </c>
      <c r="CH13" s="70">
        <v>84349.38</v>
      </c>
      <c r="CI13" s="70">
        <v>76325.15</v>
      </c>
      <c r="CJ13" s="70">
        <v>170572.25</v>
      </c>
      <c r="CK13" s="70">
        <v>91773.09</v>
      </c>
      <c r="CL13" s="70">
        <v>91425.83</v>
      </c>
      <c r="CM13" s="70">
        <v>107920.61</v>
      </c>
      <c r="CN13" s="70">
        <v>86352.65</v>
      </c>
      <c r="CO13" s="70">
        <v>39498.64</v>
      </c>
      <c r="CP13" s="70">
        <v>108536.53</v>
      </c>
      <c r="CQ13" s="70">
        <v>90035.92</v>
      </c>
      <c r="CR13" s="70">
        <v>43710.41</v>
      </c>
      <c r="CS13" s="70">
        <v>120076.72</v>
      </c>
      <c r="CT13" s="70">
        <v>43730.76</v>
      </c>
      <c r="CU13" s="70">
        <v>96060.76</v>
      </c>
      <c r="CV13" s="70">
        <v>90619.19</v>
      </c>
      <c r="CW13" s="70">
        <v>19550.24</v>
      </c>
      <c r="CX13" s="70">
        <v>37743.69</v>
      </c>
      <c r="CY13" s="70">
        <v>106356.22</v>
      </c>
      <c r="CZ13" s="70">
        <v>20380.47</v>
      </c>
      <c r="DA13" s="70">
        <v>65740.25</v>
      </c>
      <c r="DB13" s="70">
        <v>18603.52</v>
      </c>
      <c r="DC13" s="75">
        <v>177417.77</v>
      </c>
    </row>
    <row r="14" spans="1:107">
      <c r="A14" s="57" t="s">
        <v>104</v>
      </c>
      <c r="B14" s="68">
        <v>41590516.41</v>
      </c>
      <c r="C14" s="68">
        <v>25420542.74</v>
      </c>
      <c r="D14" s="68">
        <v>15770047</v>
      </c>
      <c r="E14" s="68">
        <v>187268.15</v>
      </c>
      <c r="F14" s="68">
        <v>212658.52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59807.17</v>
      </c>
      <c r="AD14" s="68">
        <v>127460.98</v>
      </c>
      <c r="AE14" s="68">
        <v>0</v>
      </c>
      <c r="AF14" s="68">
        <v>0</v>
      </c>
      <c r="AG14" s="68">
        <v>13162160</v>
      </c>
      <c r="AH14" s="68">
        <v>2016200</v>
      </c>
      <c r="AI14" s="68">
        <v>591687</v>
      </c>
      <c r="AJ14" s="68">
        <v>0</v>
      </c>
      <c r="AK14" s="68">
        <v>212658.52</v>
      </c>
      <c r="AL14" s="68">
        <v>0</v>
      </c>
      <c r="AM14" s="68">
        <v>0</v>
      </c>
      <c r="AN14" s="68">
        <v>0</v>
      </c>
      <c r="AO14" s="68">
        <v>159429.98</v>
      </c>
      <c r="AP14" s="68">
        <v>0</v>
      </c>
      <c r="AQ14" s="68">
        <v>0</v>
      </c>
      <c r="AR14" s="68">
        <v>0</v>
      </c>
      <c r="AS14" s="68">
        <v>0</v>
      </c>
      <c r="AT14" s="68">
        <v>1023617.02</v>
      </c>
      <c r="AU14" s="68">
        <v>1897038.74</v>
      </c>
      <c r="AV14" s="68">
        <v>1860842.01</v>
      </c>
      <c r="AW14" s="68">
        <v>2722682.34</v>
      </c>
      <c r="AX14" s="68">
        <v>1202077.14</v>
      </c>
      <c r="AY14" s="68">
        <v>1369460</v>
      </c>
      <c r="AZ14" s="68">
        <v>914286.29</v>
      </c>
      <c r="BA14" s="68">
        <v>2200677.66</v>
      </c>
      <c r="BB14" s="68">
        <v>285591.45</v>
      </c>
      <c r="BC14" s="68">
        <v>162578.34</v>
      </c>
      <c r="BD14" s="68">
        <v>1133044.42</v>
      </c>
      <c r="BE14" s="68">
        <v>1232691.98</v>
      </c>
      <c r="BF14" s="68">
        <v>630481.37</v>
      </c>
      <c r="BG14" s="68">
        <v>788068.94</v>
      </c>
      <c r="BH14" s="68">
        <v>395859.23</v>
      </c>
      <c r="BI14" s="68">
        <v>545613.66</v>
      </c>
      <c r="BJ14" s="68">
        <v>857163.86</v>
      </c>
      <c r="BK14" s="68">
        <v>464403.94</v>
      </c>
      <c r="BL14" s="68">
        <v>233884.11</v>
      </c>
      <c r="BM14" s="68">
        <v>306892.49</v>
      </c>
      <c r="BN14" s="68">
        <v>551824.17</v>
      </c>
      <c r="BO14" s="68">
        <v>634949.15</v>
      </c>
      <c r="BP14" s="68">
        <v>135163.24</v>
      </c>
      <c r="BQ14" s="68">
        <v>140683.22</v>
      </c>
      <c r="BR14" s="68">
        <v>61041.31</v>
      </c>
      <c r="BS14" s="68">
        <v>337815.92</v>
      </c>
      <c r="BT14" s="68">
        <v>199883.24</v>
      </c>
      <c r="BU14" s="68">
        <v>446409.61</v>
      </c>
      <c r="BV14" s="68">
        <v>377230.87</v>
      </c>
      <c r="BW14" s="68">
        <v>996578.92</v>
      </c>
      <c r="BX14" s="68">
        <v>49402.6</v>
      </c>
      <c r="BY14" s="68">
        <v>191203.07</v>
      </c>
      <c r="BZ14" s="68">
        <v>161364.48</v>
      </c>
      <c r="CA14" s="68">
        <v>204886.66</v>
      </c>
      <c r="CB14" s="68">
        <v>78104.54</v>
      </c>
      <c r="CC14" s="68">
        <v>38168.63</v>
      </c>
      <c r="CD14" s="68">
        <v>123552.4</v>
      </c>
      <c r="CE14" s="68">
        <v>32117.97</v>
      </c>
      <c r="CF14" s="68">
        <v>4922.47</v>
      </c>
      <c r="CG14" s="68">
        <v>57290.03</v>
      </c>
      <c r="CH14" s="68">
        <v>9538.24</v>
      </c>
      <c r="CI14" s="68">
        <v>344.57</v>
      </c>
      <c r="CJ14" s="68">
        <v>0</v>
      </c>
      <c r="CK14" s="68">
        <v>23874.48</v>
      </c>
      <c r="CL14" s="68">
        <v>16741.44</v>
      </c>
      <c r="CM14" s="68">
        <v>42442.48</v>
      </c>
      <c r="CN14" s="68">
        <v>5493.01</v>
      </c>
      <c r="CO14" s="68">
        <v>2551.58</v>
      </c>
      <c r="CP14" s="68">
        <v>55620.26</v>
      </c>
      <c r="CQ14" s="68">
        <v>11052.66</v>
      </c>
      <c r="CR14" s="68">
        <v>2693.03</v>
      </c>
      <c r="CS14" s="68">
        <v>2307.87</v>
      </c>
      <c r="CT14" s="68">
        <v>8449.35</v>
      </c>
      <c r="CU14" s="68">
        <v>10312.57</v>
      </c>
      <c r="CV14" s="68">
        <v>10805.83</v>
      </c>
      <c r="CW14" s="68">
        <v>0</v>
      </c>
      <c r="CX14" s="68">
        <v>0</v>
      </c>
      <c r="CY14" s="68">
        <v>7775.93</v>
      </c>
      <c r="CZ14" s="68">
        <v>261.4</v>
      </c>
      <c r="DA14" s="68">
        <v>0</v>
      </c>
      <c r="DB14" s="68">
        <v>1300.57</v>
      </c>
      <c r="DC14" s="68">
        <v>0</v>
      </c>
    </row>
    <row r="15" spans="1:107">
      <c r="A15" s="57" t="s">
        <v>105</v>
      </c>
      <c r="B15" s="68">
        <v>91608538.05</v>
      </c>
      <c r="C15" s="68">
        <v>43374063.27</v>
      </c>
      <c r="D15" s="68">
        <v>48234474.78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42071989.02</v>
      </c>
      <c r="AH15" s="68">
        <v>5242500</v>
      </c>
      <c r="AI15" s="68">
        <v>919985.76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42503009.48</v>
      </c>
      <c r="AP15" s="68">
        <v>0</v>
      </c>
      <c r="AQ15" s="68">
        <v>0</v>
      </c>
      <c r="AR15" s="68">
        <v>0</v>
      </c>
      <c r="AS15" s="68">
        <v>0</v>
      </c>
      <c r="AT15" s="68">
        <v>0</v>
      </c>
      <c r="AU15" s="68">
        <v>0</v>
      </c>
      <c r="AV15" s="68">
        <v>0</v>
      </c>
      <c r="AW15" s="68">
        <v>290000</v>
      </c>
      <c r="AX15" s="68">
        <v>0</v>
      </c>
      <c r="AY15" s="68">
        <v>0</v>
      </c>
      <c r="AZ15" s="68">
        <v>0</v>
      </c>
      <c r="BA15" s="68">
        <v>0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51726.7</v>
      </c>
      <c r="BH15" s="68">
        <v>0</v>
      </c>
      <c r="BI15" s="68">
        <v>0</v>
      </c>
      <c r="BJ15" s="68">
        <v>0</v>
      </c>
      <c r="BK15" s="68">
        <v>0</v>
      </c>
      <c r="BL15" s="68">
        <v>0</v>
      </c>
      <c r="BM15" s="68">
        <v>0</v>
      </c>
      <c r="BN15" s="68">
        <v>0</v>
      </c>
      <c r="BO15" s="68">
        <v>0</v>
      </c>
      <c r="BP15" s="68">
        <v>0</v>
      </c>
      <c r="BQ15" s="68">
        <v>0</v>
      </c>
      <c r="BR15" s="68">
        <v>0</v>
      </c>
      <c r="BS15" s="68">
        <v>0</v>
      </c>
      <c r="BT15" s="68">
        <v>0</v>
      </c>
      <c r="BU15" s="68">
        <v>0</v>
      </c>
      <c r="BV15" s="68">
        <v>0</v>
      </c>
      <c r="BW15" s="68">
        <v>416456.31</v>
      </c>
      <c r="BX15" s="68">
        <v>0</v>
      </c>
      <c r="BY15" s="68">
        <v>0</v>
      </c>
      <c r="BZ15" s="68">
        <v>0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</v>
      </c>
      <c r="CH15" s="68">
        <v>0</v>
      </c>
      <c r="CI15" s="68">
        <v>126</v>
      </c>
      <c r="CJ15" s="68">
        <v>0</v>
      </c>
      <c r="CK15" s="68">
        <v>0</v>
      </c>
      <c r="CL15" s="68">
        <v>0</v>
      </c>
      <c r="CM15" s="68">
        <v>0</v>
      </c>
      <c r="CN15" s="68">
        <v>0</v>
      </c>
      <c r="CO15" s="68">
        <v>0</v>
      </c>
      <c r="CP15" s="68">
        <v>0</v>
      </c>
      <c r="CQ15" s="68">
        <v>0</v>
      </c>
      <c r="CR15" s="68">
        <v>0</v>
      </c>
      <c r="CS15" s="68">
        <v>112744.78</v>
      </c>
      <c r="CT15" s="68">
        <v>0</v>
      </c>
      <c r="CU15" s="68">
        <v>0</v>
      </c>
      <c r="CV15" s="68">
        <v>0</v>
      </c>
      <c r="CW15" s="68">
        <v>0</v>
      </c>
      <c r="CX15" s="68">
        <v>0</v>
      </c>
      <c r="CY15" s="68">
        <v>0</v>
      </c>
      <c r="CZ15" s="68">
        <v>0</v>
      </c>
      <c r="DA15" s="68">
        <v>0</v>
      </c>
      <c r="DB15" s="68">
        <v>0</v>
      </c>
      <c r="DC15" s="68">
        <v>0</v>
      </c>
    </row>
    <row r="16" spans="1:107">
      <c r="A16" s="57" t="s">
        <v>106</v>
      </c>
      <c r="B16" s="68">
        <v>12200299.02</v>
      </c>
      <c r="C16" s="68">
        <v>10437396.17</v>
      </c>
      <c r="D16" s="68">
        <v>4912116.4</v>
      </c>
      <c r="E16" s="68">
        <v>835648.64</v>
      </c>
      <c r="F16" s="68">
        <v>16.19</v>
      </c>
      <c r="G16" s="68">
        <v>0</v>
      </c>
      <c r="H16" s="68">
        <v>-2361807.75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19327.96</v>
      </c>
      <c r="X16" s="68">
        <v>23.44</v>
      </c>
      <c r="Y16" s="68">
        <v>0</v>
      </c>
      <c r="Z16" s="68">
        <v>2004873.47</v>
      </c>
      <c r="AA16" s="68">
        <v>0</v>
      </c>
      <c r="AB16" s="68">
        <v>-1187512.92</v>
      </c>
      <c r="AC16" s="68">
        <v>-55860.19</v>
      </c>
      <c r="AD16" s="68">
        <v>74124.84</v>
      </c>
      <c r="AE16" s="68">
        <v>0</v>
      </c>
      <c r="AF16" s="68">
        <v>0</v>
      </c>
      <c r="AG16" s="68">
        <v>4049933.43</v>
      </c>
      <c r="AH16" s="68">
        <v>545254.75</v>
      </c>
      <c r="AI16" s="68">
        <v>316928.22</v>
      </c>
      <c r="AJ16" s="68">
        <v>-1642398.59</v>
      </c>
      <c r="AK16" s="68">
        <v>-2.83</v>
      </c>
      <c r="AL16" s="68">
        <v>19.02</v>
      </c>
      <c r="AM16" s="68">
        <v>0</v>
      </c>
      <c r="AN16" s="68">
        <v>0</v>
      </c>
      <c r="AO16" s="68">
        <v>18148.19</v>
      </c>
      <c r="AP16" s="68">
        <v>21680.42</v>
      </c>
      <c r="AQ16" s="68">
        <v>0</v>
      </c>
      <c r="AR16" s="68">
        <v>2461188.6</v>
      </c>
      <c r="AS16" s="68">
        <v>0</v>
      </c>
      <c r="AT16" s="68">
        <v>348060.31</v>
      </c>
      <c r="AU16" s="68">
        <v>488440.32</v>
      </c>
      <c r="AV16" s="68">
        <v>435983.74</v>
      </c>
      <c r="AW16" s="68">
        <v>341981.93</v>
      </c>
      <c r="AX16" s="68">
        <v>418902.29</v>
      </c>
      <c r="AY16" s="68">
        <v>411953.5</v>
      </c>
      <c r="AZ16" s="68">
        <v>128476.32</v>
      </c>
      <c r="BA16" s="68">
        <v>455131.51</v>
      </c>
      <c r="BB16" s="68">
        <v>172919.87</v>
      </c>
      <c r="BC16" s="68">
        <v>152036.66</v>
      </c>
      <c r="BD16" s="68">
        <v>339799.2</v>
      </c>
      <c r="BE16" s="68">
        <v>1272033.28</v>
      </c>
      <c r="BF16" s="68">
        <v>199806.79</v>
      </c>
      <c r="BG16" s="68">
        <v>337120.57</v>
      </c>
      <c r="BH16" s="68">
        <v>112988.45</v>
      </c>
      <c r="BI16" s="68">
        <v>133079.96</v>
      </c>
      <c r="BJ16" s="68">
        <v>140286.78</v>
      </c>
      <c r="BK16" s="68">
        <v>149073.48</v>
      </c>
      <c r="BL16" s="68">
        <v>121060.81</v>
      </c>
      <c r="BM16" s="68">
        <v>60304.89</v>
      </c>
      <c r="BN16" s="68">
        <v>93364.14</v>
      </c>
      <c r="BO16" s="68">
        <v>146872.41</v>
      </c>
      <c r="BP16" s="68">
        <v>31895.65</v>
      </c>
      <c r="BQ16" s="68">
        <v>51917.4</v>
      </c>
      <c r="BR16" s="68">
        <v>28960.28</v>
      </c>
      <c r="BS16" s="68">
        <v>52341.21</v>
      </c>
      <c r="BT16" s="68">
        <v>22042.82</v>
      </c>
      <c r="BU16" s="68">
        <v>54798.35</v>
      </c>
      <c r="BV16" s="68">
        <v>31962.35</v>
      </c>
      <c r="BW16" s="68">
        <v>29464.13</v>
      </c>
      <c r="BX16" s="68">
        <v>23065.73</v>
      </c>
      <c r="BY16" s="68">
        <v>36855.75</v>
      </c>
      <c r="BZ16" s="68">
        <v>12417.43</v>
      </c>
      <c r="CA16" s="68">
        <v>15090.66</v>
      </c>
      <c r="CB16" s="68">
        <v>35946.53</v>
      </c>
      <c r="CC16" s="68">
        <v>26688.9</v>
      </c>
      <c r="CD16" s="68">
        <v>991574.92</v>
      </c>
      <c r="CE16" s="68">
        <v>11039.86</v>
      </c>
      <c r="CF16" s="68">
        <v>4.99</v>
      </c>
      <c r="CG16" s="68">
        <v>8634.6</v>
      </c>
      <c r="CH16" s="68">
        <v>-2242.88</v>
      </c>
      <c r="CI16" s="68">
        <v>30.35</v>
      </c>
      <c r="CJ16" s="68">
        <v>3227.17</v>
      </c>
      <c r="CK16" s="68">
        <v>169.85</v>
      </c>
      <c r="CL16" s="68">
        <v>33.15</v>
      </c>
      <c r="CM16" s="68">
        <v>321.62</v>
      </c>
      <c r="CN16" s="68">
        <v>-237.96</v>
      </c>
      <c r="CO16" s="68">
        <v>10.31</v>
      </c>
      <c r="CP16" s="68">
        <v>428.34</v>
      </c>
      <c r="CQ16" s="68">
        <v>2151.3</v>
      </c>
      <c r="CR16" s="68">
        <v>31.69</v>
      </c>
      <c r="CS16" s="68">
        <v>5501.1</v>
      </c>
      <c r="CT16" s="68">
        <v>174.25</v>
      </c>
      <c r="CU16" s="68">
        <v>433.68</v>
      </c>
      <c r="CV16" s="68">
        <v>3.78</v>
      </c>
      <c r="CW16" s="68">
        <v>4.32</v>
      </c>
      <c r="CX16" s="68">
        <v>78.35</v>
      </c>
      <c r="CY16" s="68">
        <v>593.95</v>
      </c>
      <c r="CZ16" s="68">
        <v>0</v>
      </c>
      <c r="DA16" s="68">
        <v>0.07</v>
      </c>
      <c r="DB16" s="68">
        <v>937.3</v>
      </c>
      <c r="DC16" s="68">
        <v>350.45</v>
      </c>
    </row>
    <row r="17" spans="1:107">
      <c r="A17" s="57" t="s">
        <v>107</v>
      </c>
      <c r="B17" s="68">
        <v>506968.04</v>
      </c>
      <c r="C17" s="68">
        <v>286885.33</v>
      </c>
      <c r="D17" s="68">
        <v>0</v>
      </c>
      <c r="E17" s="68">
        <v>0</v>
      </c>
      <c r="F17" s="68">
        <v>1269.21</v>
      </c>
      <c r="G17" s="68">
        <v>0</v>
      </c>
      <c r="H17" s="68">
        <v>218813.5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8">
        <v>0</v>
      </c>
      <c r="AH17" s="68">
        <v>0</v>
      </c>
      <c r="AI17" s="68">
        <v>0</v>
      </c>
      <c r="AJ17" s="68">
        <v>0</v>
      </c>
      <c r="AK17" s="68">
        <v>0</v>
      </c>
      <c r="AL17" s="68">
        <v>1269.21</v>
      </c>
      <c r="AM17" s="68">
        <v>0</v>
      </c>
      <c r="AN17" s="68">
        <v>0</v>
      </c>
      <c r="AO17" s="68">
        <v>0</v>
      </c>
      <c r="AP17" s="68">
        <v>0</v>
      </c>
      <c r="AQ17" s="68">
        <v>0</v>
      </c>
      <c r="AR17" s="68">
        <v>0</v>
      </c>
      <c r="AS17" s="68">
        <v>0</v>
      </c>
      <c r="AT17" s="68">
        <v>0</v>
      </c>
      <c r="AU17" s="68">
        <v>0</v>
      </c>
      <c r="AV17" s="68">
        <v>0</v>
      </c>
      <c r="AW17" s="68">
        <v>0</v>
      </c>
      <c r="AX17" s="68">
        <v>47072.57</v>
      </c>
      <c r="AY17" s="68">
        <v>24881.29</v>
      </c>
      <c r="AZ17" s="68">
        <v>338.33</v>
      </c>
      <c r="BA17" s="68">
        <v>0</v>
      </c>
      <c r="BB17" s="68">
        <v>0</v>
      </c>
      <c r="BC17" s="68">
        <v>0</v>
      </c>
      <c r="BD17" s="68">
        <v>19491.76</v>
      </c>
      <c r="BE17" s="68">
        <v>82085.53</v>
      </c>
      <c r="BF17" s="68">
        <v>0</v>
      </c>
      <c r="BG17" s="68">
        <v>0</v>
      </c>
      <c r="BH17" s="68">
        <v>4278.38</v>
      </c>
      <c r="BI17" s="68">
        <v>6547.07</v>
      </c>
      <c r="BJ17" s="68">
        <v>4752.23</v>
      </c>
      <c r="BK17" s="68">
        <v>2000</v>
      </c>
      <c r="BL17" s="68">
        <v>30700.02</v>
      </c>
      <c r="BM17" s="68">
        <v>2757.28</v>
      </c>
      <c r="BN17" s="68">
        <v>195.21</v>
      </c>
      <c r="BO17" s="68">
        <v>22878.56</v>
      </c>
      <c r="BP17" s="68">
        <v>0</v>
      </c>
      <c r="BQ17" s="68">
        <v>7987.12</v>
      </c>
      <c r="BR17" s="68">
        <v>11475.68</v>
      </c>
      <c r="BS17" s="68">
        <v>8037.35</v>
      </c>
      <c r="BT17" s="68">
        <v>2299.67</v>
      </c>
      <c r="BU17" s="68">
        <v>0</v>
      </c>
      <c r="BV17" s="68">
        <v>2649.37</v>
      </c>
      <c r="BW17" s="68">
        <v>4458.73</v>
      </c>
      <c r="BX17" s="68">
        <v>0</v>
      </c>
      <c r="BY17" s="68">
        <v>0</v>
      </c>
      <c r="BZ17" s="68">
        <v>0</v>
      </c>
      <c r="CA17" s="68">
        <v>20</v>
      </c>
      <c r="CB17" s="68">
        <v>0</v>
      </c>
      <c r="CC17" s="68">
        <v>707.18</v>
      </c>
      <c r="CD17" s="68">
        <v>0</v>
      </c>
      <c r="CE17" s="68">
        <v>0</v>
      </c>
      <c r="CF17" s="68">
        <v>489</v>
      </c>
      <c r="CG17" s="68">
        <v>0</v>
      </c>
      <c r="CH17" s="68">
        <v>0</v>
      </c>
      <c r="CI17" s="68">
        <v>0</v>
      </c>
      <c r="CJ17" s="68">
        <v>0</v>
      </c>
      <c r="CK17" s="68">
        <v>0</v>
      </c>
      <c r="CL17" s="68">
        <v>0</v>
      </c>
      <c r="CM17" s="68">
        <v>0</v>
      </c>
      <c r="CN17" s="68">
        <v>0</v>
      </c>
      <c r="CO17" s="68">
        <v>0</v>
      </c>
      <c r="CP17" s="68">
        <v>0</v>
      </c>
      <c r="CQ17" s="68">
        <v>0</v>
      </c>
      <c r="CR17" s="68">
        <v>0</v>
      </c>
      <c r="CS17" s="68">
        <v>31.77</v>
      </c>
      <c r="CT17" s="68">
        <v>0</v>
      </c>
      <c r="CU17" s="68">
        <v>0</v>
      </c>
      <c r="CV17" s="68">
        <v>0</v>
      </c>
      <c r="CW17" s="68">
        <v>0</v>
      </c>
      <c r="CX17" s="68">
        <v>0</v>
      </c>
      <c r="CY17" s="68">
        <v>375</v>
      </c>
      <c r="CZ17" s="68">
        <v>0</v>
      </c>
      <c r="DA17" s="68">
        <v>376.23</v>
      </c>
      <c r="DB17" s="68">
        <v>0</v>
      </c>
      <c r="DC17" s="68">
        <v>0</v>
      </c>
    </row>
    <row r="18" spans="1:107">
      <c r="A18" s="57" t="s">
        <v>108</v>
      </c>
      <c r="B18" s="68">
        <v>3071560.87</v>
      </c>
      <c r="C18" s="68">
        <v>20000</v>
      </c>
      <c r="D18" s="68">
        <v>0</v>
      </c>
      <c r="E18" s="68">
        <v>119603.77</v>
      </c>
      <c r="F18" s="68">
        <v>0</v>
      </c>
      <c r="G18" s="68">
        <v>0</v>
      </c>
      <c r="H18" s="68">
        <v>2931957.1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8000</v>
      </c>
      <c r="Y18" s="68">
        <v>0</v>
      </c>
      <c r="Z18" s="68">
        <v>111603.77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68">
        <v>0</v>
      </c>
      <c r="AJ18" s="68">
        <v>0</v>
      </c>
      <c r="AK18" s="68">
        <v>0</v>
      </c>
      <c r="AL18" s="68">
        <v>0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</v>
      </c>
      <c r="AT18" s="68">
        <v>0</v>
      </c>
      <c r="AU18" s="68">
        <v>0</v>
      </c>
      <c r="AV18" s="68">
        <v>0</v>
      </c>
      <c r="AW18" s="68">
        <v>0</v>
      </c>
      <c r="AX18" s="68">
        <v>0</v>
      </c>
      <c r="AY18" s="68">
        <v>0</v>
      </c>
      <c r="AZ18" s="68">
        <v>0</v>
      </c>
      <c r="BA18" s="68">
        <v>0</v>
      </c>
      <c r="BB18" s="68">
        <v>0</v>
      </c>
      <c r="BC18" s="68">
        <v>0</v>
      </c>
      <c r="BD18" s="68">
        <v>0</v>
      </c>
      <c r="BE18" s="68">
        <v>0</v>
      </c>
      <c r="BF18" s="68">
        <v>0</v>
      </c>
      <c r="BG18" s="68">
        <v>0</v>
      </c>
      <c r="BH18" s="68">
        <v>0</v>
      </c>
      <c r="BI18" s="68">
        <v>0</v>
      </c>
      <c r="BJ18" s="68">
        <v>0</v>
      </c>
      <c r="BK18" s="68">
        <v>0</v>
      </c>
      <c r="BL18" s="68">
        <v>0</v>
      </c>
      <c r="BM18" s="68">
        <v>0</v>
      </c>
      <c r="BN18" s="68">
        <v>0</v>
      </c>
      <c r="BO18" s="68">
        <v>0</v>
      </c>
      <c r="BP18" s="68">
        <v>0</v>
      </c>
      <c r="BQ18" s="68">
        <v>0</v>
      </c>
      <c r="BR18" s="68">
        <v>0</v>
      </c>
      <c r="BS18" s="68">
        <v>0</v>
      </c>
      <c r="BT18" s="68">
        <v>0</v>
      </c>
      <c r="BU18" s="68">
        <v>0</v>
      </c>
      <c r="BV18" s="68">
        <v>0</v>
      </c>
      <c r="BW18" s="68">
        <v>0</v>
      </c>
      <c r="BX18" s="68">
        <v>0</v>
      </c>
      <c r="BY18" s="68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68">
        <v>0</v>
      </c>
      <c r="CJ18" s="68">
        <v>0</v>
      </c>
      <c r="CK18" s="68">
        <v>0</v>
      </c>
      <c r="CL18" s="68">
        <v>0</v>
      </c>
      <c r="CM18" s="68">
        <v>0</v>
      </c>
      <c r="CN18" s="68">
        <v>0</v>
      </c>
      <c r="CO18" s="68">
        <v>0</v>
      </c>
      <c r="CP18" s="68">
        <v>0</v>
      </c>
      <c r="CQ18" s="68">
        <v>0</v>
      </c>
      <c r="CR18" s="68">
        <v>0</v>
      </c>
      <c r="CS18" s="68">
        <v>0</v>
      </c>
      <c r="CT18" s="68">
        <v>0</v>
      </c>
      <c r="CU18" s="68">
        <v>0</v>
      </c>
      <c r="CV18" s="68">
        <v>0</v>
      </c>
      <c r="CW18" s="68">
        <v>10000</v>
      </c>
      <c r="CX18" s="68">
        <v>0</v>
      </c>
      <c r="CY18" s="68">
        <v>10000</v>
      </c>
      <c r="CZ18" s="68">
        <v>0</v>
      </c>
      <c r="DA18" s="68">
        <v>0</v>
      </c>
      <c r="DB18" s="68">
        <v>0</v>
      </c>
      <c r="DC18" s="68">
        <v>0</v>
      </c>
    </row>
    <row r="19" s="61" customFormat="1" spans="1:107">
      <c r="A19" s="69" t="s">
        <v>102</v>
      </c>
      <c r="B19" s="70">
        <v>148977882.39</v>
      </c>
      <c r="C19" s="70">
        <v>79538887.51</v>
      </c>
      <c r="D19" s="70">
        <v>68916638.18</v>
      </c>
      <c r="E19" s="70">
        <v>1142520.56</v>
      </c>
      <c r="F19" s="70">
        <v>213943.92</v>
      </c>
      <c r="G19" s="70">
        <v>0</v>
      </c>
      <c r="H19" s="70">
        <v>788962.85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19327.96</v>
      </c>
      <c r="X19" s="70">
        <v>8023.44</v>
      </c>
      <c r="Y19" s="70">
        <v>0</v>
      </c>
      <c r="Z19" s="70">
        <v>2116477.24</v>
      </c>
      <c r="AA19" s="70">
        <v>0</v>
      </c>
      <c r="AB19" s="70">
        <v>-1187512.92</v>
      </c>
      <c r="AC19" s="70">
        <v>3946.98</v>
      </c>
      <c r="AD19" s="70">
        <v>201585.82</v>
      </c>
      <c r="AE19" s="70">
        <v>0</v>
      </c>
      <c r="AF19" s="70">
        <v>0</v>
      </c>
      <c r="AG19" s="70">
        <v>59284082.45</v>
      </c>
      <c r="AH19" s="70">
        <v>7803954.75</v>
      </c>
      <c r="AI19" s="70">
        <v>1828600.98</v>
      </c>
      <c r="AJ19" s="70">
        <v>-1642398.59</v>
      </c>
      <c r="AK19" s="70">
        <v>212655.69</v>
      </c>
      <c r="AL19" s="70">
        <v>1288.23</v>
      </c>
      <c r="AM19" s="70">
        <v>0</v>
      </c>
      <c r="AN19" s="70">
        <v>0</v>
      </c>
      <c r="AO19" s="70">
        <v>42680587.65</v>
      </c>
      <c r="AP19" s="70">
        <v>21680.42</v>
      </c>
      <c r="AQ19" s="70">
        <v>0</v>
      </c>
      <c r="AR19" s="70">
        <v>2461188.6</v>
      </c>
      <c r="AS19" s="70">
        <v>0</v>
      </c>
      <c r="AT19" s="70">
        <v>1371677.33</v>
      </c>
      <c r="AU19" s="70">
        <v>2385479.06</v>
      </c>
      <c r="AV19" s="70">
        <v>2296825.75</v>
      </c>
      <c r="AW19" s="70">
        <v>3354664.27</v>
      </c>
      <c r="AX19" s="70">
        <v>1668052</v>
      </c>
      <c r="AY19" s="70">
        <v>1806294.79</v>
      </c>
      <c r="AZ19" s="70">
        <v>1043100.94</v>
      </c>
      <c r="BA19" s="70">
        <v>2655809.17</v>
      </c>
      <c r="BB19" s="70">
        <v>458511.32</v>
      </c>
      <c r="BC19" s="70">
        <v>314615</v>
      </c>
      <c r="BD19" s="70">
        <v>1492335.38</v>
      </c>
      <c r="BE19" s="70">
        <v>2586810.79</v>
      </c>
      <c r="BF19" s="70">
        <v>830288.16</v>
      </c>
      <c r="BG19" s="70">
        <v>1176916.21</v>
      </c>
      <c r="BH19" s="70">
        <v>513126.06</v>
      </c>
      <c r="BI19" s="70">
        <v>685240.69</v>
      </c>
      <c r="BJ19" s="70">
        <v>1002202.87</v>
      </c>
      <c r="BK19" s="70">
        <v>615477.42</v>
      </c>
      <c r="BL19" s="70">
        <v>385644.94</v>
      </c>
      <c r="BM19" s="70">
        <v>369954.66</v>
      </c>
      <c r="BN19" s="70">
        <v>645383.52</v>
      </c>
      <c r="BO19" s="70">
        <v>804700.12</v>
      </c>
      <c r="BP19" s="70">
        <v>167058.89</v>
      </c>
      <c r="BQ19" s="70">
        <v>200587.74</v>
      </c>
      <c r="BR19" s="70">
        <v>101477.27</v>
      </c>
      <c r="BS19" s="70">
        <v>398194.48</v>
      </c>
      <c r="BT19" s="70">
        <v>224225.73</v>
      </c>
      <c r="BU19" s="70">
        <v>501207.96</v>
      </c>
      <c r="BV19" s="70">
        <v>411842.59</v>
      </c>
      <c r="BW19" s="70">
        <v>1446958.09</v>
      </c>
      <c r="BX19" s="70">
        <v>72468.33</v>
      </c>
      <c r="BY19" s="70">
        <v>228058.82</v>
      </c>
      <c r="BZ19" s="70">
        <v>173781.91</v>
      </c>
      <c r="CA19" s="70">
        <v>219997.32</v>
      </c>
      <c r="CB19" s="70">
        <v>114051.07</v>
      </c>
      <c r="CC19" s="70">
        <v>65564.71</v>
      </c>
      <c r="CD19" s="70">
        <v>1115127.32</v>
      </c>
      <c r="CE19" s="70">
        <v>43157.83</v>
      </c>
      <c r="CF19" s="70">
        <v>5416.46</v>
      </c>
      <c r="CG19" s="70">
        <v>65924.63</v>
      </c>
      <c r="CH19" s="70">
        <v>7295.36</v>
      </c>
      <c r="CI19" s="70">
        <v>500.92</v>
      </c>
      <c r="CJ19" s="70">
        <v>3227.17</v>
      </c>
      <c r="CK19" s="70">
        <v>24044.33</v>
      </c>
      <c r="CL19" s="70">
        <v>16774.59</v>
      </c>
      <c r="CM19" s="70">
        <v>42764.1</v>
      </c>
      <c r="CN19" s="70">
        <v>5255.05</v>
      </c>
      <c r="CO19" s="70">
        <v>2561.89</v>
      </c>
      <c r="CP19" s="70">
        <v>56048.6</v>
      </c>
      <c r="CQ19" s="70">
        <v>13203.96</v>
      </c>
      <c r="CR19" s="70">
        <v>2724.72</v>
      </c>
      <c r="CS19" s="70">
        <v>120585.52</v>
      </c>
      <c r="CT19" s="70">
        <v>8623.6</v>
      </c>
      <c r="CU19" s="70">
        <v>10746.25</v>
      </c>
      <c r="CV19" s="70">
        <v>10809.61</v>
      </c>
      <c r="CW19" s="70">
        <v>10004.32</v>
      </c>
      <c r="CX19" s="70">
        <v>78.35</v>
      </c>
      <c r="CY19" s="70">
        <v>18744.88</v>
      </c>
      <c r="CZ19" s="70">
        <v>261.4</v>
      </c>
      <c r="DA19" s="70">
        <v>376.3</v>
      </c>
      <c r="DB19" s="70">
        <v>2237.87</v>
      </c>
      <c r="DC19" s="75">
        <v>350.45</v>
      </c>
    </row>
    <row r="20" spans="1:107">
      <c r="A20" s="57" t="s">
        <v>110</v>
      </c>
      <c r="B20" s="68">
        <v>22225760.64</v>
      </c>
      <c r="C20" s="68">
        <v>8827331.8</v>
      </c>
      <c r="D20" s="68">
        <v>7272853.02</v>
      </c>
      <c r="E20" s="68">
        <v>1278535.01</v>
      </c>
      <c r="F20" s="68">
        <v>809764.36</v>
      </c>
      <c r="G20" s="68">
        <v>231447.24</v>
      </c>
      <c r="H20" s="68">
        <v>825519</v>
      </c>
      <c r="I20" s="68">
        <v>46331</v>
      </c>
      <c r="J20" s="68">
        <v>1139762.11</v>
      </c>
      <c r="K20" s="68">
        <v>113216.33</v>
      </c>
      <c r="L20" s="68">
        <v>283886.74</v>
      </c>
      <c r="M20" s="68">
        <v>111805</v>
      </c>
      <c r="N20" s="68">
        <v>98864.7</v>
      </c>
      <c r="O20" s="68">
        <v>7163</v>
      </c>
      <c r="P20" s="68">
        <v>34204.6</v>
      </c>
      <c r="Q20" s="68">
        <v>17383</v>
      </c>
      <c r="R20" s="68">
        <v>31624.7</v>
      </c>
      <c r="S20" s="68">
        <v>91489.13</v>
      </c>
      <c r="T20" s="68">
        <v>22041.5</v>
      </c>
      <c r="U20" s="68">
        <v>56683.23</v>
      </c>
      <c r="V20" s="68">
        <v>0</v>
      </c>
      <c r="W20" s="68">
        <v>0</v>
      </c>
      <c r="X20" s="68">
        <v>201894.04</v>
      </c>
      <c r="Y20" s="68">
        <v>0</v>
      </c>
      <c r="Z20" s="68">
        <v>252562.31</v>
      </c>
      <c r="AA20" s="68">
        <v>1661</v>
      </c>
      <c r="AB20" s="68">
        <v>289913.14</v>
      </c>
      <c r="AC20" s="68">
        <v>298328.11</v>
      </c>
      <c r="AD20" s="68">
        <v>225749.41</v>
      </c>
      <c r="AE20" s="68">
        <v>8427</v>
      </c>
      <c r="AF20" s="68">
        <v>120046.3</v>
      </c>
      <c r="AG20" s="68">
        <v>4996154.5</v>
      </c>
      <c r="AH20" s="68">
        <v>1652222.71</v>
      </c>
      <c r="AI20" s="68">
        <v>504429.51</v>
      </c>
      <c r="AJ20" s="68">
        <v>925855.17</v>
      </c>
      <c r="AK20" s="68">
        <v>425579.84</v>
      </c>
      <c r="AL20" s="68">
        <v>364716.72</v>
      </c>
      <c r="AM20" s="68">
        <v>19467.8</v>
      </c>
      <c r="AN20" s="68">
        <v>0</v>
      </c>
      <c r="AO20" s="68">
        <v>199421.92</v>
      </c>
      <c r="AP20" s="68">
        <v>125090.1</v>
      </c>
      <c r="AQ20" s="68">
        <v>76197.41</v>
      </c>
      <c r="AR20" s="68">
        <v>33895</v>
      </c>
      <c r="AS20" s="68">
        <v>167027</v>
      </c>
      <c r="AT20" s="68">
        <v>486705.73</v>
      </c>
      <c r="AU20" s="68">
        <v>487126.72</v>
      </c>
      <c r="AV20" s="68">
        <v>373712.84</v>
      </c>
      <c r="AW20" s="68">
        <v>384167.91</v>
      </c>
      <c r="AX20" s="68">
        <v>170228.29</v>
      </c>
      <c r="AY20" s="68">
        <v>372920.06</v>
      </c>
      <c r="AZ20" s="68">
        <v>135854</v>
      </c>
      <c r="BA20" s="68">
        <v>339146.55</v>
      </c>
      <c r="BB20" s="68">
        <v>204563.63</v>
      </c>
      <c r="BC20" s="68">
        <v>72861.4</v>
      </c>
      <c r="BD20" s="68">
        <v>467967.71</v>
      </c>
      <c r="BE20" s="68">
        <v>219086.9</v>
      </c>
      <c r="BF20" s="68">
        <v>328695.94</v>
      </c>
      <c r="BG20" s="68">
        <v>523701.5</v>
      </c>
      <c r="BH20" s="68">
        <v>106718</v>
      </c>
      <c r="BI20" s="68">
        <v>204282.8</v>
      </c>
      <c r="BJ20" s="68">
        <v>128324.76</v>
      </c>
      <c r="BK20" s="68">
        <v>192927.29</v>
      </c>
      <c r="BL20" s="68">
        <v>102110</v>
      </c>
      <c r="BM20" s="68">
        <v>33455</v>
      </c>
      <c r="BN20" s="68">
        <v>119803.5</v>
      </c>
      <c r="BO20" s="68">
        <v>142058</v>
      </c>
      <c r="BP20" s="68">
        <v>186479.64</v>
      </c>
      <c r="BQ20" s="68">
        <v>143768.55</v>
      </c>
      <c r="BR20" s="68">
        <v>106367</v>
      </c>
      <c r="BS20" s="68">
        <v>188418.46</v>
      </c>
      <c r="BT20" s="68">
        <v>55491.5</v>
      </c>
      <c r="BU20" s="68">
        <v>85952.22</v>
      </c>
      <c r="BV20" s="68">
        <v>74220</v>
      </c>
      <c r="BW20" s="68">
        <v>45866.3</v>
      </c>
      <c r="BX20" s="68">
        <v>41285</v>
      </c>
      <c r="BY20" s="68">
        <v>129717.43</v>
      </c>
      <c r="BZ20" s="68">
        <v>89377.8</v>
      </c>
      <c r="CA20" s="68">
        <v>45370.36</v>
      </c>
      <c r="CB20" s="68">
        <v>88966.2</v>
      </c>
      <c r="CC20" s="68">
        <v>182222.72</v>
      </c>
      <c r="CD20" s="68">
        <v>213887.57</v>
      </c>
      <c r="CE20" s="68">
        <v>91660.5</v>
      </c>
      <c r="CF20" s="68">
        <v>11546</v>
      </c>
      <c r="CG20" s="68">
        <v>42402.3</v>
      </c>
      <c r="CH20" s="68">
        <v>37397.88</v>
      </c>
      <c r="CI20" s="68">
        <v>55780.36</v>
      </c>
      <c r="CJ20" s="68">
        <v>12645</v>
      </c>
      <c r="CK20" s="68">
        <v>65632.32</v>
      </c>
      <c r="CL20" s="68">
        <v>56652.38</v>
      </c>
      <c r="CM20" s="68">
        <v>31739.1</v>
      </c>
      <c r="CN20" s="68">
        <v>50849.6</v>
      </c>
      <c r="CO20" s="68">
        <v>23663</v>
      </c>
      <c r="CP20" s="68">
        <v>41293.09</v>
      </c>
      <c r="CQ20" s="68">
        <v>68779.28</v>
      </c>
      <c r="CR20" s="68">
        <v>45125.7</v>
      </c>
      <c r="CS20" s="68">
        <v>45011.8</v>
      </c>
      <c r="CT20" s="68">
        <v>35501.72</v>
      </c>
      <c r="CU20" s="68">
        <v>27259.03</v>
      </c>
      <c r="CV20" s="68">
        <v>19929.2</v>
      </c>
      <c r="CW20" s="68">
        <v>7324</v>
      </c>
      <c r="CX20" s="68">
        <v>41272.5</v>
      </c>
      <c r="CY20" s="68">
        <v>65751.6</v>
      </c>
      <c r="CZ20" s="68">
        <v>38979</v>
      </c>
      <c r="DA20" s="68">
        <v>10879</v>
      </c>
      <c r="DB20" s="68">
        <v>15444.73</v>
      </c>
      <c r="DC20" s="68">
        <v>9372</v>
      </c>
    </row>
    <row r="21" spans="1:107">
      <c r="A21" s="57" t="s">
        <v>111</v>
      </c>
      <c r="B21" s="68">
        <v>7335906.03</v>
      </c>
      <c r="C21" s="68">
        <v>1754356.58</v>
      </c>
      <c r="D21" s="68">
        <v>3034771.56</v>
      </c>
      <c r="E21" s="68">
        <v>990910.48</v>
      </c>
      <c r="F21" s="68">
        <v>296212.42</v>
      </c>
      <c r="G21" s="68">
        <v>382533.6</v>
      </c>
      <c r="H21" s="68">
        <v>0</v>
      </c>
      <c r="I21" s="68">
        <v>41077.79</v>
      </c>
      <c r="J21" s="68">
        <v>33249.42</v>
      </c>
      <c r="K21" s="68">
        <v>20436.5</v>
      </c>
      <c r="L21" s="68">
        <v>38719.84</v>
      </c>
      <c r="M21" s="68">
        <v>63241.53</v>
      </c>
      <c r="N21" s="68">
        <v>10113</v>
      </c>
      <c r="O21" s="68">
        <v>6798.29</v>
      </c>
      <c r="P21" s="68">
        <v>36905.3</v>
      </c>
      <c r="Q21" s="68">
        <v>26297.78</v>
      </c>
      <c r="R21" s="68">
        <v>95413.18</v>
      </c>
      <c r="S21" s="68">
        <v>237068.5</v>
      </c>
      <c r="T21" s="68">
        <v>9069.44</v>
      </c>
      <c r="U21" s="68">
        <v>34523.4</v>
      </c>
      <c r="V21" s="68">
        <v>0</v>
      </c>
      <c r="W21" s="68">
        <v>0</v>
      </c>
      <c r="X21" s="68">
        <v>51822.38</v>
      </c>
      <c r="Y21" s="68">
        <v>2458.4</v>
      </c>
      <c r="Z21" s="68">
        <v>360947.3</v>
      </c>
      <c r="AA21" s="68">
        <v>2115.58</v>
      </c>
      <c r="AB21" s="68">
        <v>263916.03</v>
      </c>
      <c r="AC21" s="68">
        <v>166511.38</v>
      </c>
      <c r="AD21" s="68">
        <v>123131.31</v>
      </c>
      <c r="AE21" s="68">
        <v>20008.1</v>
      </c>
      <c r="AF21" s="68">
        <v>125768.3</v>
      </c>
      <c r="AG21" s="68">
        <v>1722286.8</v>
      </c>
      <c r="AH21" s="68">
        <v>587558.4</v>
      </c>
      <c r="AI21" s="68">
        <v>599158.06</v>
      </c>
      <c r="AJ21" s="68">
        <v>223430.42</v>
      </c>
      <c r="AK21" s="68">
        <v>174209.69</v>
      </c>
      <c r="AL21" s="68">
        <v>65464.55</v>
      </c>
      <c r="AM21" s="68">
        <v>56538.18</v>
      </c>
      <c r="AN21" s="68">
        <v>777</v>
      </c>
      <c r="AO21" s="68">
        <v>60491.53</v>
      </c>
      <c r="AP21" s="68">
        <v>115214.87</v>
      </c>
      <c r="AQ21" s="68">
        <v>137744.47</v>
      </c>
      <c r="AR21" s="68">
        <v>40838.17</v>
      </c>
      <c r="AS21" s="68">
        <v>106786.76</v>
      </c>
      <c r="AT21" s="68">
        <v>18874.1</v>
      </c>
      <c r="AU21" s="68">
        <v>29337.67</v>
      </c>
      <c r="AV21" s="68">
        <v>14008.03</v>
      </c>
      <c r="AW21" s="68">
        <v>62724.13</v>
      </c>
      <c r="AX21" s="68">
        <v>15819.14</v>
      </c>
      <c r="AY21" s="68">
        <v>31452.77</v>
      </c>
      <c r="AZ21" s="68">
        <v>24424.44</v>
      </c>
      <c r="BA21" s="68">
        <v>49630.4</v>
      </c>
      <c r="BB21" s="68">
        <v>72085</v>
      </c>
      <c r="BC21" s="68">
        <v>35475.5</v>
      </c>
      <c r="BD21" s="68">
        <v>174891.85</v>
      </c>
      <c r="BE21" s="68">
        <v>39469.24</v>
      </c>
      <c r="BF21" s="68">
        <v>14213.7</v>
      </c>
      <c r="BG21" s="68">
        <v>22046.08</v>
      </c>
      <c r="BH21" s="68">
        <v>22183.25</v>
      </c>
      <c r="BI21" s="68">
        <v>34702.13</v>
      </c>
      <c r="BJ21" s="68">
        <v>4658.08</v>
      </c>
      <c r="BK21" s="68">
        <v>19701.04</v>
      </c>
      <c r="BL21" s="68">
        <v>8043.5</v>
      </c>
      <c r="BM21" s="68">
        <v>5458</v>
      </c>
      <c r="BN21" s="68">
        <v>11092</v>
      </c>
      <c r="BO21" s="68">
        <v>40331.08</v>
      </c>
      <c r="BP21" s="68">
        <v>9484.5</v>
      </c>
      <c r="BQ21" s="68">
        <v>8798.2</v>
      </c>
      <c r="BR21" s="68">
        <v>4418.5</v>
      </c>
      <c r="BS21" s="68">
        <v>21424.5</v>
      </c>
      <c r="BT21" s="68">
        <v>370</v>
      </c>
      <c r="BU21" s="68">
        <v>49822.8</v>
      </c>
      <c r="BV21" s="68">
        <v>1259</v>
      </c>
      <c r="BW21" s="68">
        <v>31419.78</v>
      </c>
      <c r="BX21" s="68">
        <v>9146.17</v>
      </c>
      <c r="BY21" s="68">
        <v>12196</v>
      </c>
      <c r="BZ21" s="68">
        <v>5574</v>
      </c>
      <c r="CA21" s="68">
        <v>5685.78</v>
      </c>
      <c r="CB21" s="68">
        <v>2545.5</v>
      </c>
      <c r="CC21" s="68">
        <v>15150.5</v>
      </c>
      <c r="CD21" s="68">
        <v>25872.53</v>
      </c>
      <c r="CE21" s="68">
        <v>10818.5</v>
      </c>
      <c r="CF21" s="68">
        <v>10100.5</v>
      </c>
      <c r="CG21" s="68">
        <v>12002.18</v>
      </c>
      <c r="CH21" s="68">
        <v>22558.2</v>
      </c>
      <c r="CI21" s="68">
        <v>15925.5</v>
      </c>
      <c r="CJ21" s="68">
        <v>13792.5</v>
      </c>
      <c r="CK21" s="68">
        <v>17455.18</v>
      </c>
      <c r="CL21" s="68">
        <v>23889</v>
      </c>
      <c r="CM21" s="68">
        <v>24269.92</v>
      </c>
      <c r="CN21" s="68">
        <v>20230.8</v>
      </c>
      <c r="CO21" s="68">
        <v>6772.2</v>
      </c>
      <c r="CP21" s="68">
        <v>18490.5</v>
      </c>
      <c r="CQ21" s="68">
        <v>14386</v>
      </c>
      <c r="CR21" s="68">
        <v>12907.5</v>
      </c>
      <c r="CS21" s="68">
        <v>9325.6</v>
      </c>
      <c r="CT21" s="68">
        <v>16516</v>
      </c>
      <c r="CU21" s="68">
        <v>12992.3</v>
      </c>
      <c r="CV21" s="68">
        <v>20460.5</v>
      </c>
      <c r="CW21" s="68">
        <v>0</v>
      </c>
      <c r="CX21" s="68">
        <v>8060</v>
      </c>
      <c r="CY21" s="68">
        <v>23054.4</v>
      </c>
      <c r="CZ21" s="68">
        <v>13918.8</v>
      </c>
      <c r="DA21" s="68">
        <v>6170.78</v>
      </c>
      <c r="DB21" s="68">
        <v>1666</v>
      </c>
      <c r="DC21" s="68">
        <v>3729.03</v>
      </c>
    </row>
    <row r="22" spans="1:107">
      <c r="A22" s="57" t="s">
        <v>112</v>
      </c>
      <c r="B22" s="68">
        <v>1485668.29</v>
      </c>
      <c r="C22" s="68">
        <v>845395.190000001</v>
      </c>
      <c r="D22" s="68">
        <v>231254.91</v>
      </c>
      <c r="E22" s="68">
        <v>95220.3</v>
      </c>
      <c r="F22" s="68">
        <v>56851.12</v>
      </c>
      <c r="G22" s="68">
        <v>8067.8</v>
      </c>
      <c r="H22" s="68">
        <v>310.9</v>
      </c>
      <c r="I22" s="68">
        <v>6541</v>
      </c>
      <c r="J22" s="68">
        <v>181070.39</v>
      </c>
      <c r="K22" s="68">
        <v>15000.5</v>
      </c>
      <c r="L22" s="68">
        <v>3054.6</v>
      </c>
      <c r="M22" s="68">
        <v>3950.6</v>
      </c>
      <c r="N22" s="68">
        <v>2136.5</v>
      </c>
      <c r="O22" s="68">
        <v>1066</v>
      </c>
      <c r="P22" s="68">
        <v>1497.6</v>
      </c>
      <c r="Q22" s="68">
        <v>1180</v>
      </c>
      <c r="R22" s="68">
        <v>2590.38</v>
      </c>
      <c r="S22" s="68">
        <v>8635</v>
      </c>
      <c r="T22" s="68">
        <v>8182.8</v>
      </c>
      <c r="U22" s="68">
        <v>7237.2</v>
      </c>
      <c r="V22" s="68">
        <v>0</v>
      </c>
      <c r="W22" s="68">
        <v>0</v>
      </c>
      <c r="X22" s="68">
        <v>29542.23</v>
      </c>
      <c r="Y22" s="68">
        <v>0</v>
      </c>
      <c r="Z22" s="68">
        <v>17001.99</v>
      </c>
      <c r="AA22" s="68">
        <v>0</v>
      </c>
      <c r="AB22" s="68">
        <v>18801.47</v>
      </c>
      <c r="AC22" s="68">
        <v>10774.59</v>
      </c>
      <c r="AD22" s="68">
        <v>19100.02</v>
      </c>
      <c r="AE22" s="68">
        <v>0</v>
      </c>
      <c r="AF22" s="68">
        <v>11793</v>
      </c>
      <c r="AG22" s="68">
        <v>162407.2</v>
      </c>
      <c r="AH22" s="68">
        <v>31262.88</v>
      </c>
      <c r="AI22" s="68">
        <v>25791.83</v>
      </c>
      <c r="AJ22" s="68">
        <v>6425.5</v>
      </c>
      <c r="AK22" s="68">
        <v>28477.96</v>
      </c>
      <c r="AL22" s="68">
        <v>26749.42</v>
      </c>
      <c r="AM22" s="68">
        <v>1623.74</v>
      </c>
      <c r="AN22" s="68">
        <v>0</v>
      </c>
      <c r="AO22" s="68">
        <v>11928.7</v>
      </c>
      <c r="AP22" s="68">
        <v>5933.6</v>
      </c>
      <c r="AQ22" s="68">
        <v>7391</v>
      </c>
      <c r="AR22" s="68">
        <v>6159</v>
      </c>
      <c r="AS22" s="68">
        <v>6815.6</v>
      </c>
      <c r="AT22" s="68">
        <v>46198.79</v>
      </c>
      <c r="AU22" s="68">
        <v>26926.9</v>
      </c>
      <c r="AV22" s="68">
        <v>22795.7</v>
      </c>
      <c r="AW22" s="68">
        <v>46902.99</v>
      </c>
      <c r="AX22" s="68">
        <v>39044.59</v>
      </c>
      <c r="AY22" s="68">
        <v>48823.06</v>
      </c>
      <c r="AZ22" s="68">
        <v>10425.1</v>
      </c>
      <c r="BA22" s="68">
        <v>23086.3</v>
      </c>
      <c r="BB22" s="68">
        <v>18340.77</v>
      </c>
      <c r="BC22" s="68">
        <v>7033.98</v>
      </c>
      <c r="BD22" s="68">
        <v>39566.97</v>
      </c>
      <c r="BE22" s="68">
        <v>10478.7</v>
      </c>
      <c r="BF22" s="68">
        <v>37284.1</v>
      </c>
      <c r="BG22" s="68">
        <v>10494.76</v>
      </c>
      <c r="BH22" s="68">
        <v>20572.81</v>
      </c>
      <c r="BI22" s="68">
        <v>20736</v>
      </c>
      <c r="BJ22" s="68">
        <v>4448.4</v>
      </c>
      <c r="BK22" s="68">
        <v>32474.7</v>
      </c>
      <c r="BL22" s="68">
        <v>6484</v>
      </c>
      <c r="BM22" s="68">
        <v>4141</v>
      </c>
      <c r="BN22" s="68">
        <v>17211.5</v>
      </c>
      <c r="BO22" s="68">
        <v>40365.5</v>
      </c>
      <c r="BP22" s="68">
        <v>16107.8</v>
      </c>
      <c r="BQ22" s="68">
        <v>5825.18</v>
      </c>
      <c r="BR22" s="68">
        <v>4861</v>
      </c>
      <c r="BS22" s="68">
        <v>0</v>
      </c>
      <c r="BT22" s="68">
        <v>7661</v>
      </c>
      <c r="BU22" s="68">
        <v>10000.66</v>
      </c>
      <c r="BV22" s="68">
        <v>9185.1</v>
      </c>
      <c r="BW22" s="68">
        <v>14791</v>
      </c>
      <c r="BX22" s="68">
        <v>2065.46</v>
      </c>
      <c r="BY22" s="68">
        <v>13921.3</v>
      </c>
      <c r="BZ22" s="68">
        <v>2102</v>
      </c>
      <c r="CA22" s="68">
        <v>6328.16</v>
      </c>
      <c r="CB22" s="68">
        <v>2031.89</v>
      </c>
      <c r="CC22" s="68">
        <v>14347.04</v>
      </c>
      <c r="CD22" s="68">
        <v>7745.8</v>
      </c>
      <c r="CE22" s="68">
        <v>8350.1</v>
      </c>
      <c r="CF22" s="68">
        <v>2579.7</v>
      </c>
      <c r="CG22" s="68">
        <v>4078.2</v>
      </c>
      <c r="CH22" s="68">
        <v>5146.87</v>
      </c>
      <c r="CI22" s="68">
        <v>8453</v>
      </c>
      <c r="CJ22" s="68">
        <v>1398.18</v>
      </c>
      <c r="CK22" s="68">
        <v>8554.94</v>
      </c>
      <c r="CL22" s="68">
        <v>11418.68</v>
      </c>
      <c r="CM22" s="68">
        <v>4829.8</v>
      </c>
      <c r="CN22" s="68">
        <v>2388.9</v>
      </c>
      <c r="CO22" s="68">
        <v>5139.3</v>
      </c>
      <c r="CP22" s="68">
        <v>8309</v>
      </c>
      <c r="CQ22" s="68">
        <v>10635.18</v>
      </c>
      <c r="CR22" s="68">
        <v>6835.68</v>
      </c>
      <c r="CS22" s="68">
        <v>5339.16</v>
      </c>
      <c r="CT22" s="68">
        <v>1975.81</v>
      </c>
      <c r="CU22" s="68">
        <v>16526.36</v>
      </c>
      <c r="CV22" s="68">
        <v>5885</v>
      </c>
      <c r="CW22" s="68">
        <v>5913.9</v>
      </c>
      <c r="CX22" s="68">
        <v>4387.1</v>
      </c>
      <c r="CY22" s="68">
        <v>5850</v>
      </c>
      <c r="CZ22" s="68">
        <v>9468.9</v>
      </c>
      <c r="DA22" s="68">
        <v>2455.11</v>
      </c>
      <c r="DB22" s="68">
        <v>5786.9</v>
      </c>
      <c r="DC22" s="68">
        <v>4651.51</v>
      </c>
    </row>
    <row r="23" spans="1:107">
      <c r="A23" s="57" t="s">
        <v>113</v>
      </c>
      <c r="B23" s="68">
        <v>750939.66</v>
      </c>
      <c r="C23" s="68">
        <v>571611.39</v>
      </c>
      <c r="D23" s="68">
        <v>72202</v>
      </c>
      <c r="E23" s="68">
        <v>19110.5</v>
      </c>
      <c r="F23" s="68">
        <v>13011.65</v>
      </c>
      <c r="G23" s="68">
        <v>0</v>
      </c>
      <c r="H23" s="68">
        <v>0</v>
      </c>
      <c r="I23" s="68">
        <v>2310</v>
      </c>
      <c r="J23" s="68">
        <v>10910</v>
      </c>
      <c r="K23" s="68">
        <v>23192.79</v>
      </c>
      <c r="L23" s="68">
        <v>1190</v>
      </c>
      <c r="M23" s="68">
        <v>3130</v>
      </c>
      <c r="N23" s="68">
        <v>149</v>
      </c>
      <c r="O23" s="68">
        <v>535</v>
      </c>
      <c r="P23" s="68">
        <v>1295</v>
      </c>
      <c r="Q23" s="68">
        <v>965</v>
      </c>
      <c r="R23" s="68">
        <v>535</v>
      </c>
      <c r="S23" s="68">
        <v>1640</v>
      </c>
      <c r="T23" s="68">
        <v>6209</v>
      </c>
      <c r="U23" s="68">
        <v>17358.33</v>
      </c>
      <c r="V23" s="68">
        <v>0</v>
      </c>
      <c r="W23" s="68">
        <v>0</v>
      </c>
      <c r="X23" s="68">
        <v>-8591.7</v>
      </c>
      <c r="Y23" s="68">
        <v>0</v>
      </c>
      <c r="Z23" s="68">
        <v>20707.5</v>
      </c>
      <c r="AA23" s="68">
        <v>0</v>
      </c>
      <c r="AB23" s="68">
        <v>3469</v>
      </c>
      <c r="AC23" s="68">
        <v>3525.7</v>
      </c>
      <c r="AD23" s="68">
        <v>0</v>
      </c>
      <c r="AE23" s="68">
        <v>0</v>
      </c>
      <c r="AF23" s="68">
        <v>6215</v>
      </c>
      <c r="AG23" s="68">
        <v>47456</v>
      </c>
      <c r="AH23" s="68">
        <v>12664</v>
      </c>
      <c r="AI23" s="68">
        <v>5867</v>
      </c>
      <c r="AJ23" s="68">
        <v>5585</v>
      </c>
      <c r="AK23" s="68">
        <v>380</v>
      </c>
      <c r="AL23" s="68">
        <v>12631.65</v>
      </c>
      <c r="AM23" s="68">
        <v>0</v>
      </c>
      <c r="AN23" s="68">
        <v>0</v>
      </c>
      <c r="AO23" s="68">
        <v>1165</v>
      </c>
      <c r="AP23" s="68">
        <v>2285</v>
      </c>
      <c r="AQ23" s="68">
        <v>865</v>
      </c>
      <c r="AR23" s="68">
        <v>610</v>
      </c>
      <c r="AS23" s="68">
        <v>2933</v>
      </c>
      <c r="AT23" s="68">
        <v>19161</v>
      </c>
      <c r="AU23" s="68">
        <v>19125</v>
      </c>
      <c r="AV23" s="68">
        <v>9387</v>
      </c>
      <c r="AW23" s="68">
        <v>24993.47</v>
      </c>
      <c r="AX23" s="68">
        <v>20699.5</v>
      </c>
      <c r="AY23" s="68">
        <v>20961.72</v>
      </c>
      <c r="AZ23" s="68">
        <v>8085.3</v>
      </c>
      <c r="BA23" s="68">
        <v>43410</v>
      </c>
      <c r="BB23" s="68">
        <v>13319.56</v>
      </c>
      <c r="BC23" s="68">
        <v>4583.72</v>
      </c>
      <c r="BD23" s="68">
        <v>9598.79</v>
      </c>
      <c r="BE23" s="68">
        <v>12064.38</v>
      </c>
      <c r="BF23" s="68">
        <v>11320</v>
      </c>
      <c r="BG23" s="68">
        <v>1461</v>
      </c>
      <c r="BH23" s="68">
        <v>23867.43</v>
      </c>
      <c r="BI23" s="68">
        <v>7005</v>
      </c>
      <c r="BJ23" s="68">
        <v>1774.8</v>
      </c>
      <c r="BK23" s="68">
        <v>9292.5</v>
      </c>
      <c r="BL23" s="68">
        <v>9971</v>
      </c>
      <c r="BM23" s="68">
        <v>19946</v>
      </c>
      <c r="BN23" s="68">
        <v>212</v>
      </c>
      <c r="BO23" s="68">
        <v>25008.02</v>
      </c>
      <c r="BP23" s="68">
        <v>3293.7</v>
      </c>
      <c r="BQ23" s="68">
        <v>91</v>
      </c>
      <c r="BR23" s="68">
        <v>2528</v>
      </c>
      <c r="BS23" s="68">
        <v>948</v>
      </c>
      <c r="BT23" s="68">
        <v>5722</v>
      </c>
      <c r="BU23" s="68">
        <v>13234.92</v>
      </c>
      <c r="BV23" s="68">
        <v>1193</v>
      </c>
      <c r="BW23" s="68">
        <v>9568.05</v>
      </c>
      <c r="BX23" s="68">
        <v>10285</v>
      </c>
      <c r="BY23" s="68">
        <v>14767</v>
      </c>
      <c r="BZ23" s="68">
        <v>607</v>
      </c>
      <c r="CA23" s="68">
        <v>2079</v>
      </c>
      <c r="CB23" s="68">
        <v>1489.79</v>
      </c>
      <c r="CC23" s="68">
        <v>1897.7</v>
      </c>
      <c r="CD23" s="68">
        <v>4610.74</v>
      </c>
      <c r="CE23" s="68">
        <v>5487.6</v>
      </c>
      <c r="CF23" s="68">
        <v>0</v>
      </c>
      <c r="CG23" s="68">
        <v>2795</v>
      </c>
      <c r="CH23" s="68">
        <v>2397.9</v>
      </c>
      <c r="CI23" s="68">
        <v>11238.5</v>
      </c>
      <c r="CJ23" s="68">
        <v>1063.8</v>
      </c>
      <c r="CK23" s="68">
        <v>15422</v>
      </c>
      <c r="CL23" s="68">
        <v>13825</v>
      </c>
      <c r="CM23" s="68">
        <v>6195</v>
      </c>
      <c r="CN23" s="68">
        <v>4325</v>
      </c>
      <c r="CO23" s="68">
        <v>20867</v>
      </c>
      <c r="CP23" s="68">
        <v>7912</v>
      </c>
      <c r="CQ23" s="68">
        <v>2130</v>
      </c>
      <c r="CR23" s="68">
        <v>5350</v>
      </c>
      <c r="CS23" s="68">
        <v>4464</v>
      </c>
      <c r="CT23" s="68">
        <v>12671</v>
      </c>
      <c r="CU23" s="68">
        <v>4629.5</v>
      </c>
      <c r="CV23" s="68">
        <v>6008</v>
      </c>
      <c r="CW23" s="68">
        <v>7900</v>
      </c>
      <c r="CX23" s="68">
        <v>10890</v>
      </c>
      <c r="CY23" s="68">
        <v>4078</v>
      </c>
      <c r="CZ23" s="68">
        <v>22230</v>
      </c>
      <c r="DA23" s="68">
        <v>1500</v>
      </c>
      <c r="DB23" s="68">
        <v>2812</v>
      </c>
      <c r="DC23" s="68">
        <v>0</v>
      </c>
    </row>
    <row r="24" spans="1:107">
      <c r="A24" s="57" t="s">
        <v>114</v>
      </c>
      <c r="B24" s="68">
        <v>7237976.76</v>
      </c>
      <c r="C24" s="68">
        <v>6845391.97</v>
      </c>
      <c r="D24" s="68">
        <v>3800</v>
      </c>
      <c r="E24" s="68">
        <v>0</v>
      </c>
      <c r="F24" s="68">
        <v>0</v>
      </c>
      <c r="G24" s="68">
        <v>0</v>
      </c>
      <c r="H24" s="68">
        <v>256902.13</v>
      </c>
      <c r="I24" s="68">
        <v>67941.76</v>
      </c>
      <c r="J24" s="68">
        <v>7710</v>
      </c>
      <c r="K24" s="68">
        <v>0</v>
      </c>
      <c r="L24" s="68">
        <v>0</v>
      </c>
      <c r="M24" s="68">
        <v>0</v>
      </c>
      <c r="N24" s="68">
        <v>0</v>
      </c>
      <c r="O24" s="68">
        <v>56230.9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3800</v>
      </c>
      <c r="AG24" s="68">
        <v>0</v>
      </c>
      <c r="AH24" s="68">
        <v>0</v>
      </c>
      <c r="AI24" s="68">
        <v>0</v>
      </c>
      <c r="AJ24" s="68">
        <v>0</v>
      </c>
      <c r="AK24" s="68">
        <v>0</v>
      </c>
      <c r="AL24" s="68">
        <v>0</v>
      </c>
      <c r="AM24" s="68">
        <v>0</v>
      </c>
      <c r="AN24" s="68">
        <v>0</v>
      </c>
      <c r="AO24" s="68">
        <v>6136581.17</v>
      </c>
      <c r="AP24" s="68">
        <v>7700</v>
      </c>
      <c r="AQ24" s="68">
        <v>85828.88</v>
      </c>
      <c r="AR24" s="68">
        <v>0</v>
      </c>
      <c r="AS24" s="68">
        <v>3200</v>
      </c>
      <c r="AT24" s="68">
        <v>600</v>
      </c>
      <c r="AU24" s="68">
        <v>0</v>
      </c>
      <c r="AV24" s="68">
        <v>32256.68</v>
      </c>
      <c r="AW24" s="68">
        <v>18415.54</v>
      </c>
      <c r="AX24" s="68">
        <v>10417.48</v>
      </c>
      <c r="AY24" s="68">
        <v>7759</v>
      </c>
      <c r="AZ24" s="68">
        <v>7648</v>
      </c>
      <c r="BA24" s="68">
        <v>16900</v>
      </c>
      <c r="BB24" s="68">
        <v>29167</v>
      </c>
      <c r="BC24" s="68">
        <v>0</v>
      </c>
      <c r="BD24" s="68">
        <v>21973</v>
      </c>
      <c r="BE24" s="68">
        <v>20828.07</v>
      </c>
      <c r="BF24" s="68">
        <v>16390</v>
      </c>
      <c r="BG24" s="68">
        <v>4700</v>
      </c>
      <c r="BH24" s="68">
        <v>27957</v>
      </c>
      <c r="BI24" s="68">
        <v>0</v>
      </c>
      <c r="BJ24" s="68">
        <v>1000</v>
      </c>
      <c r="BK24" s="68">
        <v>30318.4</v>
      </c>
      <c r="BL24" s="68">
        <v>200</v>
      </c>
      <c r="BM24" s="68">
        <v>0</v>
      </c>
      <c r="BN24" s="68">
        <v>0</v>
      </c>
      <c r="BO24" s="68">
        <v>37880</v>
      </c>
      <c r="BP24" s="68">
        <v>5556</v>
      </c>
      <c r="BQ24" s="68">
        <v>10090</v>
      </c>
      <c r="BR24" s="68">
        <v>19086.64</v>
      </c>
      <c r="BS24" s="68">
        <v>0</v>
      </c>
      <c r="BT24" s="68">
        <v>3010</v>
      </c>
      <c r="BU24" s="68">
        <v>36227.27</v>
      </c>
      <c r="BV24" s="68">
        <v>6276.7</v>
      </c>
      <c r="BW24" s="68">
        <v>8530</v>
      </c>
      <c r="BX24" s="68">
        <v>1976</v>
      </c>
      <c r="BY24" s="68">
        <v>9408</v>
      </c>
      <c r="BZ24" s="68">
        <v>0</v>
      </c>
      <c r="CA24" s="68">
        <v>2900</v>
      </c>
      <c r="CB24" s="68">
        <v>0</v>
      </c>
      <c r="CC24" s="68">
        <v>21624.97</v>
      </c>
      <c r="CD24" s="68">
        <v>3519</v>
      </c>
      <c r="CE24" s="68">
        <v>3336</v>
      </c>
      <c r="CF24" s="68">
        <v>4041</v>
      </c>
      <c r="CG24" s="68">
        <v>5936</v>
      </c>
      <c r="CH24" s="68">
        <v>9150</v>
      </c>
      <c r="CI24" s="68">
        <v>14935.17</v>
      </c>
      <c r="CJ24" s="68">
        <v>3840</v>
      </c>
      <c r="CK24" s="68">
        <v>1800</v>
      </c>
      <c r="CL24" s="68">
        <v>22350</v>
      </c>
      <c r="CM24" s="68">
        <v>9708</v>
      </c>
      <c r="CN24" s="68">
        <v>18194</v>
      </c>
      <c r="CO24" s="68">
        <v>2000</v>
      </c>
      <c r="CP24" s="68">
        <v>8600</v>
      </c>
      <c r="CQ24" s="68">
        <v>15435</v>
      </c>
      <c r="CR24" s="68">
        <v>25096</v>
      </c>
      <c r="CS24" s="68">
        <v>2450</v>
      </c>
      <c r="CT24" s="68">
        <v>6190</v>
      </c>
      <c r="CU24" s="68">
        <v>12840</v>
      </c>
      <c r="CV24" s="68">
        <v>5000</v>
      </c>
      <c r="CW24" s="68">
        <v>0</v>
      </c>
      <c r="CX24" s="68">
        <v>900</v>
      </c>
      <c r="CY24" s="68">
        <v>7380</v>
      </c>
      <c r="CZ24" s="68">
        <v>11094</v>
      </c>
      <c r="DA24" s="68">
        <v>0</v>
      </c>
      <c r="DB24" s="68">
        <v>2640</v>
      </c>
      <c r="DC24" s="68">
        <v>6552</v>
      </c>
    </row>
    <row r="25" spans="1:107">
      <c r="A25" s="57" t="s">
        <v>115</v>
      </c>
      <c r="B25" s="68">
        <v>3051752.44</v>
      </c>
      <c r="C25" s="68">
        <v>1012729.2</v>
      </c>
      <c r="D25" s="68">
        <v>92129</v>
      </c>
      <c r="E25" s="68">
        <v>823168.32</v>
      </c>
      <c r="F25" s="68">
        <v>676531.25</v>
      </c>
      <c r="G25" s="68">
        <v>15822</v>
      </c>
      <c r="H25" s="68">
        <v>0</v>
      </c>
      <c r="I25" s="68">
        <v>11483</v>
      </c>
      <c r="J25" s="68">
        <v>4340</v>
      </c>
      <c r="K25" s="68">
        <v>20162.13</v>
      </c>
      <c r="L25" s="68">
        <v>22965</v>
      </c>
      <c r="M25" s="68">
        <v>0</v>
      </c>
      <c r="N25" s="68">
        <v>0</v>
      </c>
      <c r="O25" s="68">
        <v>0</v>
      </c>
      <c r="P25" s="68">
        <v>7143</v>
      </c>
      <c r="Q25" s="68">
        <v>35714</v>
      </c>
      <c r="R25" s="68">
        <v>4340</v>
      </c>
      <c r="S25" s="68">
        <v>107678.11</v>
      </c>
      <c r="T25" s="68">
        <v>0</v>
      </c>
      <c r="U25" s="68">
        <v>0</v>
      </c>
      <c r="V25" s="68">
        <v>0</v>
      </c>
      <c r="W25" s="68">
        <v>0</v>
      </c>
      <c r="X25" s="68">
        <v>23265</v>
      </c>
      <c r="Y25" s="68">
        <v>0</v>
      </c>
      <c r="Z25" s="68">
        <v>174286</v>
      </c>
      <c r="AA25" s="68">
        <v>0</v>
      </c>
      <c r="AB25" s="68">
        <v>184636.43</v>
      </c>
      <c r="AC25" s="68">
        <v>320819.26</v>
      </c>
      <c r="AD25" s="68">
        <v>120161.63</v>
      </c>
      <c r="AE25" s="68">
        <v>0</v>
      </c>
      <c r="AF25" s="68">
        <v>20162</v>
      </c>
      <c r="AG25" s="68">
        <v>24501</v>
      </c>
      <c r="AH25" s="68">
        <v>24501</v>
      </c>
      <c r="AI25" s="68">
        <v>22965</v>
      </c>
      <c r="AJ25" s="68">
        <v>217547.43</v>
      </c>
      <c r="AK25" s="68">
        <v>660709.25</v>
      </c>
      <c r="AL25" s="68">
        <v>15822</v>
      </c>
      <c r="AM25" s="68">
        <v>0</v>
      </c>
      <c r="AN25" s="68">
        <v>0</v>
      </c>
      <c r="AO25" s="68">
        <v>19520.11</v>
      </c>
      <c r="AP25" s="68">
        <v>11483</v>
      </c>
      <c r="AQ25" s="68">
        <v>0</v>
      </c>
      <c r="AR25" s="68">
        <v>154079</v>
      </c>
      <c r="AS25" s="68">
        <v>7143</v>
      </c>
      <c r="AT25" s="68">
        <v>38136.68</v>
      </c>
      <c r="AU25" s="68">
        <v>23639.09</v>
      </c>
      <c r="AV25" s="68">
        <v>112681.27</v>
      </c>
      <c r="AW25" s="68">
        <v>29183.08</v>
      </c>
      <c r="AX25" s="68">
        <v>71226.23</v>
      </c>
      <c r="AY25" s="68">
        <v>76471.14</v>
      </c>
      <c r="AZ25" s="68">
        <v>11749.85</v>
      </c>
      <c r="BA25" s="68">
        <v>65626.77</v>
      </c>
      <c r="BB25" s="68">
        <v>13275.94</v>
      </c>
      <c r="BC25" s="68">
        <v>12824.93</v>
      </c>
      <c r="BD25" s="68">
        <v>17913.88</v>
      </c>
      <c r="BE25" s="68">
        <v>22418.07</v>
      </c>
      <c r="BF25" s="68">
        <v>47974.72</v>
      </c>
      <c r="BG25" s="68">
        <v>14932.36</v>
      </c>
      <c r="BH25" s="68">
        <v>17588.79</v>
      </c>
      <c r="BI25" s="68">
        <v>31077.79</v>
      </c>
      <c r="BJ25" s="68">
        <v>27149.08</v>
      </c>
      <c r="BK25" s="68">
        <v>17034.68</v>
      </c>
      <c r="BL25" s="68">
        <v>18623.31</v>
      </c>
      <c r="BM25" s="68">
        <v>27722.43</v>
      </c>
      <c r="BN25" s="68">
        <v>11473.7</v>
      </c>
      <c r="BO25" s="68">
        <v>32105.63</v>
      </c>
      <c r="BP25" s="68">
        <v>1803.21</v>
      </c>
      <c r="BQ25" s="68">
        <v>4182.57</v>
      </c>
      <c r="BR25" s="68">
        <v>2237.33</v>
      </c>
      <c r="BS25" s="68">
        <v>4136.34</v>
      </c>
      <c r="BT25" s="68">
        <v>10157.75</v>
      </c>
      <c r="BU25" s="68">
        <v>5497.94</v>
      </c>
      <c r="BV25" s="68">
        <v>9581.32</v>
      </c>
      <c r="BW25" s="68">
        <v>3189.39</v>
      </c>
      <c r="BX25" s="68">
        <v>1743.55</v>
      </c>
      <c r="BY25" s="68">
        <v>2705.46</v>
      </c>
      <c r="BZ25" s="68">
        <v>990.81</v>
      </c>
      <c r="CA25" s="68">
        <v>7338.66</v>
      </c>
      <c r="CB25" s="68">
        <v>6215.03</v>
      </c>
      <c r="CC25" s="68">
        <v>7963.76</v>
      </c>
      <c r="CD25" s="68">
        <v>7226.07</v>
      </c>
      <c r="CE25" s="68">
        <v>1773.71</v>
      </c>
      <c r="CF25" s="68">
        <v>0</v>
      </c>
      <c r="CG25" s="68">
        <v>143.05</v>
      </c>
      <c r="CH25" s="68">
        <v>1127.63</v>
      </c>
      <c r="CI25" s="68">
        <v>0</v>
      </c>
      <c r="CJ25" s="68">
        <v>235.92</v>
      </c>
      <c r="CK25" s="68">
        <v>0</v>
      </c>
      <c r="CL25" s="68">
        <v>0</v>
      </c>
      <c r="CM25" s="68">
        <v>234.99</v>
      </c>
      <c r="CN25" s="68">
        <v>29.81</v>
      </c>
      <c r="CO25" s="68">
        <v>0</v>
      </c>
      <c r="CP25" s="68">
        <v>337.68</v>
      </c>
      <c r="CQ25" s="68">
        <v>72.87</v>
      </c>
      <c r="CR25" s="68">
        <v>0</v>
      </c>
      <c r="CS25" s="68">
        <v>686.09</v>
      </c>
      <c r="CT25" s="68">
        <v>0</v>
      </c>
      <c r="CU25" s="68">
        <v>56.31</v>
      </c>
      <c r="CV25" s="68">
        <v>0.06</v>
      </c>
      <c r="CW25" s="68">
        <v>0</v>
      </c>
      <c r="CX25" s="68">
        <v>0</v>
      </c>
      <c r="CY25" s="68">
        <v>5.59</v>
      </c>
      <c r="CZ25" s="68">
        <v>0</v>
      </c>
      <c r="DA25" s="68">
        <v>0</v>
      </c>
      <c r="DB25" s="68">
        <v>1.77</v>
      </c>
      <c r="DC25" s="68">
        <v>0</v>
      </c>
    </row>
    <row r="26" spans="1:107">
      <c r="A26" s="57" t="s">
        <v>116</v>
      </c>
      <c r="B26" s="68">
        <v>1782129.49</v>
      </c>
      <c r="C26" s="68">
        <v>1001370.98</v>
      </c>
      <c r="D26" s="68">
        <v>0</v>
      </c>
      <c r="E26" s="68">
        <v>1886.8</v>
      </c>
      <c r="F26" s="68">
        <v>0</v>
      </c>
      <c r="G26" s="68">
        <v>0</v>
      </c>
      <c r="H26" s="68">
        <v>0</v>
      </c>
      <c r="I26" s="68">
        <v>0</v>
      </c>
      <c r="J26" s="68">
        <v>687625.29</v>
      </c>
      <c r="K26" s="68">
        <v>0</v>
      </c>
      <c r="L26" s="68">
        <v>0</v>
      </c>
      <c r="M26" s="68">
        <v>0</v>
      </c>
      <c r="N26" s="68">
        <v>0</v>
      </c>
      <c r="O26" s="68">
        <v>70226.42</v>
      </c>
      <c r="P26" s="68">
        <v>0</v>
      </c>
      <c r="Q26" s="68">
        <v>0</v>
      </c>
      <c r="R26" s="68">
        <v>0</v>
      </c>
      <c r="S26" s="68">
        <v>21020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1886.8</v>
      </c>
      <c r="AC26" s="68">
        <v>0</v>
      </c>
      <c r="AD26" s="68">
        <v>0</v>
      </c>
      <c r="AE26" s="68">
        <v>0</v>
      </c>
      <c r="AF26" s="68">
        <v>0</v>
      </c>
      <c r="AG26" s="68">
        <v>0</v>
      </c>
      <c r="AH26" s="68">
        <v>0</v>
      </c>
      <c r="AI26" s="68">
        <v>0</v>
      </c>
      <c r="AJ26" s="68">
        <v>0</v>
      </c>
      <c r="AK26" s="68">
        <v>0</v>
      </c>
      <c r="AL26" s="68">
        <v>0</v>
      </c>
      <c r="AM26" s="68">
        <v>0</v>
      </c>
      <c r="AN26" s="68">
        <v>0</v>
      </c>
      <c r="AO26" s="68">
        <v>336805.61</v>
      </c>
      <c r="AP26" s="68">
        <v>3000</v>
      </c>
      <c r="AQ26" s="68">
        <v>13925.94</v>
      </c>
      <c r="AR26" s="68">
        <v>0</v>
      </c>
      <c r="AS26" s="68">
        <v>198799.73</v>
      </c>
      <c r="AT26" s="68">
        <v>0</v>
      </c>
      <c r="AU26" s="68">
        <v>0</v>
      </c>
      <c r="AV26" s="68">
        <v>118490.06</v>
      </c>
      <c r="AW26" s="68">
        <v>0</v>
      </c>
      <c r="AX26" s="68">
        <v>129722.47</v>
      </c>
      <c r="AY26" s="68">
        <v>46289</v>
      </c>
      <c r="AZ26" s="68">
        <v>7526.4</v>
      </c>
      <c r="BA26" s="68">
        <v>0</v>
      </c>
      <c r="BB26" s="68">
        <v>0</v>
      </c>
      <c r="BC26" s="68">
        <v>0</v>
      </c>
      <c r="BD26" s="68">
        <v>4237</v>
      </c>
      <c r="BE26" s="68">
        <v>0</v>
      </c>
      <c r="BF26" s="68">
        <v>0</v>
      </c>
      <c r="BG26" s="68">
        <v>0</v>
      </c>
      <c r="BH26" s="68">
        <v>6292</v>
      </c>
      <c r="BI26" s="68">
        <v>22603.57</v>
      </c>
      <c r="BJ26" s="68">
        <v>0</v>
      </c>
      <c r="BK26" s="68">
        <v>0</v>
      </c>
      <c r="BL26" s="68">
        <v>0</v>
      </c>
      <c r="BM26" s="68">
        <v>0</v>
      </c>
      <c r="BN26" s="68">
        <v>0</v>
      </c>
      <c r="BO26" s="68">
        <v>98804</v>
      </c>
      <c r="BP26" s="68">
        <v>0</v>
      </c>
      <c r="BQ26" s="68">
        <v>9800</v>
      </c>
      <c r="BR26" s="68">
        <v>0</v>
      </c>
      <c r="BS26" s="68">
        <v>0</v>
      </c>
      <c r="BT26" s="68">
        <v>0</v>
      </c>
      <c r="BU26" s="68">
        <v>2662.2</v>
      </c>
      <c r="BV26" s="68">
        <v>0</v>
      </c>
      <c r="BW26" s="68">
        <v>0</v>
      </c>
      <c r="BX26" s="68">
        <v>0</v>
      </c>
      <c r="BY26" s="68">
        <v>0</v>
      </c>
      <c r="BZ26" s="68">
        <v>0</v>
      </c>
      <c r="CA26" s="68">
        <v>2413</v>
      </c>
      <c r="CB26" s="68">
        <v>0</v>
      </c>
      <c r="CC26" s="68">
        <v>0</v>
      </c>
      <c r="CD26" s="68">
        <v>0</v>
      </c>
      <c r="CE26" s="68">
        <v>0</v>
      </c>
      <c r="CF26" s="68">
        <v>0</v>
      </c>
      <c r="CG26" s="68">
        <v>0</v>
      </c>
      <c r="CH26" s="68">
        <v>0</v>
      </c>
      <c r="CI26" s="68">
        <v>0</v>
      </c>
      <c r="CJ26" s="68">
        <v>0</v>
      </c>
      <c r="CK26" s="68">
        <v>0</v>
      </c>
      <c r="CL26" s="68">
        <v>0</v>
      </c>
      <c r="CM26" s="68">
        <v>0</v>
      </c>
      <c r="CN26" s="68">
        <v>0</v>
      </c>
      <c r="CO26" s="68">
        <v>0</v>
      </c>
      <c r="CP26" s="68">
        <v>0</v>
      </c>
      <c r="CQ26" s="68">
        <v>0</v>
      </c>
      <c r="CR26" s="68">
        <v>0</v>
      </c>
      <c r="CS26" s="68">
        <v>0</v>
      </c>
      <c r="CT26" s="68">
        <v>0</v>
      </c>
      <c r="CU26" s="68">
        <v>0</v>
      </c>
      <c r="CV26" s="68">
        <v>0</v>
      </c>
      <c r="CW26" s="68">
        <v>0</v>
      </c>
      <c r="CX26" s="68">
        <v>0</v>
      </c>
      <c r="CY26" s="68">
        <v>0</v>
      </c>
      <c r="CZ26" s="68">
        <v>0</v>
      </c>
      <c r="DA26" s="68">
        <v>0</v>
      </c>
      <c r="DB26" s="68">
        <v>0</v>
      </c>
      <c r="DC26" s="68">
        <v>0</v>
      </c>
    </row>
    <row r="27" spans="1:107">
      <c r="A27" s="57" t="s">
        <v>117</v>
      </c>
      <c r="B27" s="68">
        <v>588485.03</v>
      </c>
      <c r="C27" s="68">
        <v>343866.35</v>
      </c>
      <c r="D27" s="68">
        <v>151904.79</v>
      </c>
      <c r="E27" s="68">
        <v>6578.1</v>
      </c>
      <c r="F27" s="68">
        <v>736.75</v>
      </c>
      <c r="G27" s="68">
        <v>0</v>
      </c>
      <c r="H27" s="68">
        <v>0</v>
      </c>
      <c r="I27" s="68">
        <v>22855</v>
      </c>
      <c r="J27" s="68">
        <v>49518.64</v>
      </c>
      <c r="K27" s="68">
        <v>1400</v>
      </c>
      <c r="L27" s="68">
        <v>420</v>
      </c>
      <c r="M27" s="68">
        <v>2400</v>
      </c>
      <c r="N27" s="68">
        <v>0</v>
      </c>
      <c r="O27" s="68">
        <v>304</v>
      </c>
      <c r="P27" s="68">
        <v>660</v>
      </c>
      <c r="Q27" s="68">
        <v>66</v>
      </c>
      <c r="R27" s="68">
        <v>594</v>
      </c>
      <c r="S27" s="68">
        <v>1518</v>
      </c>
      <c r="T27" s="68">
        <v>330</v>
      </c>
      <c r="U27" s="68">
        <v>2536</v>
      </c>
      <c r="V27" s="68">
        <v>0</v>
      </c>
      <c r="W27" s="68">
        <v>0</v>
      </c>
      <c r="X27" s="68">
        <v>-161.9</v>
      </c>
      <c r="Y27" s="68">
        <v>0</v>
      </c>
      <c r="Z27" s="68">
        <v>3383</v>
      </c>
      <c r="AA27" s="68">
        <v>0</v>
      </c>
      <c r="AB27" s="68">
        <v>66</v>
      </c>
      <c r="AC27" s="68">
        <v>2018</v>
      </c>
      <c r="AD27" s="68">
        <v>1273</v>
      </c>
      <c r="AE27" s="68">
        <v>0</v>
      </c>
      <c r="AF27" s="68">
        <v>957</v>
      </c>
      <c r="AG27" s="68">
        <v>94185.72</v>
      </c>
      <c r="AH27" s="68">
        <v>30213.41</v>
      </c>
      <c r="AI27" s="68">
        <v>26548.66</v>
      </c>
      <c r="AJ27" s="68">
        <v>2797.4</v>
      </c>
      <c r="AK27" s="68">
        <v>536.75</v>
      </c>
      <c r="AL27" s="68">
        <v>0</v>
      </c>
      <c r="AM27" s="68">
        <v>200</v>
      </c>
      <c r="AN27" s="68">
        <v>0</v>
      </c>
      <c r="AO27" s="68">
        <v>1767</v>
      </c>
      <c r="AP27" s="68">
        <v>5033</v>
      </c>
      <c r="AQ27" s="68">
        <v>1915</v>
      </c>
      <c r="AR27" s="68">
        <v>3290</v>
      </c>
      <c r="AS27" s="68">
        <v>11920</v>
      </c>
      <c r="AT27" s="68">
        <v>3941</v>
      </c>
      <c r="AU27" s="68">
        <v>7281.9</v>
      </c>
      <c r="AV27" s="68">
        <v>6181.2</v>
      </c>
      <c r="AW27" s="68">
        <v>4790</v>
      </c>
      <c r="AX27" s="68">
        <v>1433</v>
      </c>
      <c r="AY27" s="68">
        <v>8796</v>
      </c>
      <c r="AZ27" s="68">
        <v>13635</v>
      </c>
      <c r="BA27" s="68">
        <v>10834</v>
      </c>
      <c r="BB27" s="68">
        <v>5926</v>
      </c>
      <c r="BC27" s="68">
        <v>1776</v>
      </c>
      <c r="BD27" s="68">
        <v>6693.32</v>
      </c>
      <c r="BE27" s="68">
        <v>2353</v>
      </c>
      <c r="BF27" s="68">
        <v>19135</v>
      </c>
      <c r="BG27" s="68">
        <v>4680</v>
      </c>
      <c r="BH27" s="68">
        <v>3340</v>
      </c>
      <c r="BI27" s="68">
        <v>15822</v>
      </c>
      <c r="BJ27" s="68">
        <v>2237</v>
      </c>
      <c r="BK27" s="68">
        <v>13809</v>
      </c>
      <c r="BL27" s="68">
        <v>4093</v>
      </c>
      <c r="BM27" s="68">
        <v>54506</v>
      </c>
      <c r="BN27" s="68">
        <v>21973.87</v>
      </c>
      <c r="BO27" s="68">
        <v>2329.5</v>
      </c>
      <c r="BP27" s="68">
        <v>3932</v>
      </c>
      <c r="BQ27" s="68">
        <v>3944.5</v>
      </c>
      <c r="BR27" s="68">
        <v>5945.5</v>
      </c>
      <c r="BS27" s="68">
        <v>6230</v>
      </c>
      <c r="BT27" s="68">
        <v>2797.7</v>
      </c>
      <c r="BU27" s="68">
        <v>15415</v>
      </c>
      <c r="BV27" s="68">
        <v>11150</v>
      </c>
      <c r="BW27" s="68">
        <v>4297</v>
      </c>
      <c r="BX27" s="68">
        <v>8023.7</v>
      </c>
      <c r="BY27" s="68">
        <v>325</v>
      </c>
      <c r="BZ27" s="68">
        <v>1686</v>
      </c>
      <c r="CA27" s="68">
        <v>2726</v>
      </c>
      <c r="CB27" s="68">
        <v>5131.3</v>
      </c>
      <c r="CC27" s="68">
        <v>6444</v>
      </c>
      <c r="CD27" s="68">
        <v>4575</v>
      </c>
      <c r="CE27" s="68">
        <v>0</v>
      </c>
      <c r="CF27" s="68">
        <v>0</v>
      </c>
      <c r="CG27" s="68">
        <v>2265</v>
      </c>
      <c r="CH27" s="68">
        <v>1880</v>
      </c>
      <c r="CI27" s="68">
        <v>3970</v>
      </c>
      <c r="CJ27" s="68">
        <v>180</v>
      </c>
      <c r="CK27" s="68">
        <v>0</v>
      </c>
      <c r="CL27" s="68">
        <v>0</v>
      </c>
      <c r="CM27" s="68">
        <v>1138</v>
      </c>
      <c r="CN27" s="68">
        <v>822</v>
      </c>
      <c r="CO27" s="68">
        <v>0</v>
      </c>
      <c r="CP27" s="68">
        <v>2150</v>
      </c>
      <c r="CQ27" s="68">
        <v>2006</v>
      </c>
      <c r="CR27" s="68">
        <v>0</v>
      </c>
      <c r="CS27" s="68">
        <v>1150</v>
      </c>
      <c r="CT27" s="68">
        <v>0</v>
      </c>
      <c r="CU27" s="68">
        <v>4342.8</v>
      </c>
      <c r="CV27" s="68">
        <v>0</v>
      </c>
      <c r="CW27" s="68">
        <v>0</v>
      </c>
      <c r="CX27" s="68">
        <v>0</v>
      </c>
      <c r="CY27" s="68">
        <v>0</v>
      </c>
      <c r="CZ27" s="68">
        <v>0</v>
      </c>
      <c r="DA27" s="68">
        <v>0</v>
      </c>
      <c r="DB27" s="68">
        <v>1849.06</v>
      </c>
      <c r="DC27" s="68">
        <v>0</v>
      </c>
    </row>
    <row r="28" spans="1:107">
      <c r="A28" s="57" t="s">
        <v>118</v>
      </c>
      <c r="B28" s="68">
        <v>115087.91</v>
      </c>
      <c r="C28" s="68">
        <v>72904.71</v>
      </c>
      <c r="D28" s="68">
        <v>3413.1</v>
      </c>
      <c r="E28" s="68">
        <v>6759.66</v>
      </c>
      <c r="F28" s="68">
        <v>620.1</v>
      </c>
      <c r="G28" s="68">
        <v>9569</v>
      </c>
      <c r="H28" s="68">
        <v>228</v>
      </c>
      <c r="I28" s="68">
        <v>2982.68</v>
      </c>
      <c r="J28" s="68">
        <v>3680</v>
      </c>
      <c r="K28" s="68">
        <v>1189.1</v>
      </c>
      <c r="L28" s="68">
        <v>0</v>
      </c>
      <c r="M28" s="68">
        <v>1580</v>
      </c>
      <c r="N28" s="68">
        <v>0</v>
      </c>
      <c r="O28" s="68">
        <v>648</v>
      </c>
      <c r="P28" s="68">
        <v>1311.5</v>
      </c>
      <c r="Q28" s="68">
        <v>528</v>
      </c>
      <c r="R28" s="68">
        <v>2006.26</v>
      </c>
      <c r="S28" s="68">
        <v>3479.8</v>
      </c>
      <c r="T28" s="68">
        <v>408</v>
      </c>
      <c r="U28" s="68">
        <v>0</v>
      </c>
      <c r="V28" s="68">
        <v>0</v>
      </c>
      <c r="W28" s="68">
        <v>0</v>
      </c>
      <c r="X28" s="68">
        <v>2651</v>
      </c>
      <c r="Y28" s="68">
        <v>0</v>
      </c>
      <c r="Z28" s="68">
        <v>440</v>
      </c>
      <c r="AA28" s="68">
        <v>0</v>
      </c>
      <c r="AB28" s="68">
        <v>1488</v>
      </c>
      <c r="AC28" s="68">
        <v>1740.66</v>
      </c>
      <c r="AD28" s="68">
        <v>440</v>
      </c>
      <c r="AE28" s="68">
        <v>0</v>
      </c>
      <c r="AF28" s="68">
        <v>0</v>
      </c>
      <c r="AG28" s="68">
        <v>540</v>
      </c>
      <c r="AH28" s="68">
        <v>1608</v>
      </c>
      <c r="AI28" s="68">
        <v>1265.1</v>
      </c>
      <c r="AJ28" s="68">
        <v>3780</v>
      </c>
      <c r="AK28" s="68">
        <v>262.9</v>
      </c>
      <c r="AL28" s="68">
        <v>357.2</v>
      </c>
      <c r="AM28" s="68">
        <v>0</v>
      </c>
      <c r="AN28" s="68">
        <v>0</v>
      </c>
      <c r="AO28" s="68">
        <v>7896</v>
      </c>
      <c r="AP28" s="68">
        <v>0</v>
      </c>
      <c r="AQ28" s="68">
        <v>0</v>
      </c>
      <c r="AR28" s="68">
        <v>0</v>
      </c>
      <c r="AS28" s="68">
        <v>4115.05</v>
      </c>
      <c r="AT28" s="68">
        <v>0</v>
      </c>
      <c r="AU28" s="68">
        <v>0</v>
      </c>
      <c r="AV28" s="68">
        <v>1388.3</v>
      </c>
      <c r="AW28" s="68">
        <v>20796</v>
      </c>
      <c r="AX28" s="68">
        <v>0</v>
      </c>
      <c r="AY28" s="68">
        <v>5280</v>
      </c>
      <c r="AZ28" s="68">
        <v>1800</v>
      </c>
      <c r="BA28" s="68">
        <v>2000</v>
      </c>
      <c r="BB28" s="68">
        <v>0</v>
      </c>
      <c r="BC28" s="68">
        <v>421</v>
      </c>
      <c r="BD28" s="68">
        <v>3696</v>
      </c>
      <c r="BE28" s="68">
        <v>0</v>
      </c>
      <c r="BF28" s="68">
        <v>19140</v>
      </c>
      <c r="BG28" s="68">
        <v>217.4</v>
      </c>
      <c r="BH28" s="68">
        <v>0</v>
      </c>
      <c r="BI28" s="68">
        <v>0</v>
      </c>
      <c r="BJ28" s="68">
        <v>0</v>
      </c>
      <c r="BK28" s="68">
        <v>1097.8</v>
      </c>
      <c r="BL28" s="68">
        <v>0</v>
      </c>
      <c r="BM28" s="68">
        <v>0</v>
      </c>
      <c r="BN28" s="68">
        <v>0</v>
      </c>
      <c r="BO28" s="68">
        <v>1140</v>
      </c>
      <c r="BP28" s="68">
        <v>0</v>
      </c>
      <c r="BQ28" s="68">
        <v>437.16</v>
      </c>
      <c r="BR28" s="68">
        <v>1050</v>
      </c>
      <c r="BS28" s="68">
        <v>0</v>
      </c>
      <c r="BT28" s="68">
        <v>0</v>
      </c>
      <c r="BU28" s="68">
        <v>166.6</v>
      </c>
      <c r="BV28" s="68">
        <v>0</v>
      </c>
      <c r="BW28" s="68">
        <v>0</v>
      </c>
      <c r="BX28" s="68">
        <v>162.2</v>
      </c>
      <c r="BY28" s="68">
        <v>980.6</v>
      </c>
      <c r="BZ28" s="68">
        <v>0</v>
      </c>
      <c r="CA28" s="68">
        <v>0</v>
      </c>
      <c r="CB28" s="68">
        <v>0</v>
      </c>
      <c r="CC28" s="68">
        <v>0</v>
      </c>
      <c r="CD28" s="68">
        <v>0</v>
      </c>
      <c r="CE28" s="68">
        <v>0</v>
      </c>
      <c r="CF28" s="68">
        <v>0</v>
      </c>
      <c r="CG28" s="68">
        <v>222</v>
      </c>
      <c r="CH28" s="68">
        <v>105</v>
      </c>
      <c r="CI28" s="68">
        <v>0</v>
      </c>
      <c r="CJ28" s="68">
        <v>0</v>
      </c>
      <c r="CK28" s="68">
        <v>0</v>
      </c>
      <c r="CL28" s="68">
        <v>0</v>
      </c>
      <c r="CM28" s="68">
        <v>0</v>
      </c>
      <c r="CN28" s="68">
        <v>0</v>
      </c>
      <c r="CO28" s="68">
        <v>0</v>
      </c>
      <c r="CP28" s="68">
        <v>438.9</v>
      </c>
      <c r="CQ28" s="68">
        <v>0</v>
      </c>
      <c r="CR28" s="68">
        <v>0</v>
      </c>
      <c r="CS28" s="68">
        <v>0</v>
      </c>
      <c r="CT28" s="68">
        <v>0</v>
      </c>
      <c r="CU28" s="68">
        <v>354.7</v>
      </c>
      <c r="CV28" s="68">
        <v>0</v>
      </c>
      <c r="CW28" s="68">
        <v>0</v>
      </c>
      <c r="CX28" s="68">
        <v>0</v>
      </c>
      <c r="CY28" s="68">
        <v>0</v>
      </c>
      <c r="CZ28" s="68">
        <v>0</v>
      </c>
      <c r="DA28" s="68">
        <v>0</v>
      </c>
      <c r="DB28" s="68">
        <v>0</v>
      </c>
      <c r="DC28" s="68">
        <v>0</v>
      </c>
    </row>
    <row r="29" spans="1:107">
      <c r="A29" s="57" t="s">
        <v>119</v>
      </c>
      <c r="B29" s="68">
        <v>523101.05</v>
      </c>
      <c r="C29" s="68">
        <v>211797.08</v>
      </c>
      <c r="D29" s="68">
        <v>196581.79</v>
      </c>
      <c r="E29" s="68">
        <v>46382.65</v>
      </c>
      <c r="F29" s="68">
        <v>13780.1</v>
      </c>
      <c r="G29" s="68">
        <v>14274.34</v>
      </c>
      <c r="H29" s="68">
        <v>2042</v>
      </c>
      <c r="I29" s="68">
        <v>4300.95</v>
      </c>
      <c r="J29" s="68">
        <v>7832.22</v>
      </c>
      <c r="K29" s="68">
        <v>8682.21</v>
      </c>
      <c r="L29" s="68">
        <v>5375.02</v>
      </c>
      <c r="M29" s="68">
        <v>3945.55</v>
      </c>
      <c r="N29" s="68">
        <v>1987.1</v>
      </c>
      <c r="O29" s="68">
        <v>0</v>
      </c>
      <c r="P29" s="68">
        <v>1044.87</v>
      </c>
      <c r="Q29" s="68">
        <v>378.41</v>
      </c>
      <c r="R29" s="68">
        <v>827.43</v>
      </c>
      <c r="S29" s="68">
        <v>1776.65</v>
      </c>
      <c r="T29" s="68">
        <v>758.23</v>
      </c>
      <c r="U29" s="68">
        <v>919.59</v>
      </c>
      <c r="V29" s="68">
        <v>0</v>
      </c>
      <c r="W29" s="68">
        <v>0</v>
      </c>
      <c r="X29" s="68">
        <v>3691.6</v>
      </c>
      <c r="Y29" s="68">
        <v>0</v>
      </c>
      <c r="Z29" s="68">
        <v>7770.24</v>
      </c>
      <c r="AA29" s="68">
        <v>0</v>
      </c>
      <c r="AB29" s="68">
        <v>4840.35</v>
      </c>
      <c r="AC29" s="68">
        <v>9750.53</v>
      </c>
      <c r="AD29" s="68">
        <v>20329.93</v>
      </c>
      <c r="AE29" s="68">
        <v>0</v>
      </c>
      <c r="AF29" s="68">
        <v>15180.6</v>
      </c>
      <c r="AG29" s="68">
        <v>57900.98</v>
      </c>
      <c r="AH29" s="68">
        <v>38490.97</v>
      </c>
      <c r="AI29" s="68">
        <v>85009.24</v>
      </c>
      <c r="AJ29" s="68">
        <v>414.86</v>
      </c>
      <c r="AK29" s="68">
        <v>8169.87</v>
      </c>
      <c r="AL29" s="68">
        <v>3075.39</v>
      </c>
      <c r="AM29" s="68">
        <v>2534.84</v>
      </c>
      <c r="AN29" s="68">
        <v>0</v>
      </c>
      <c r="AO29" s="68">
        <v>1085.1</v>
      </c>
      <c r="AP29" s="68">
        <v>1636.35</v>
      </c>
      <c r="AQ29" s="68">
        <v>7796.27</v>
      </c>
      <c r="AR29" s="68">
        <v>825.7</v>
      </c>
      <c r="AS29" s="68">
        <v>2061.63</v>
      </c>
      <c r="AT29" s="68">
        <v>200</v>
      </c>
      <c r="AU29" s="68">
        <v>3721</v>
      </c>
      <c r="AV29" s="68">
        <v>307</v>
      </c>
      <c r="AW29" s="68">
        <v>1525.5</v>
      </c>
      <c r="AX29" s="68">
        <v>86</v>
      </c>
      <c r="AY29" s="68">
        <v>991</v>
      </c>
      <c r="AZ29" s="68">
        <v>0</v>
      </c>
      <c r="BA29" s="68">
        <v>1956</v>
      </c>
      <c r="BB29" s="68">
        <v>3699.9</v>
      </c>
      <c r="BC29" s="68">
        <v>1883</v>
      </c>
      <c r="BD29" s="68">
        <v>242.6</v>
      </c>
      <c r="BE29" s="68">
        <v>931</v>
      </c>
      <c r="BF29" s="68">
        <v>3911.5</v>
      </c>
      <c r="BG29" s="68">
        <v>11298.2</v>
      </c>
      <c r="BH29" s="68">
        <v>2046</v>
      </c>
      <c r="BI29" s="68">
        <v>1135</v>
      </c>
      <c r="BJ29" s="68">
        <v>0</v>
      </c>
      <c r="BK29" s="68">
        <v>683.4</v>
      </c>
      <c r="BL29" s="68">
        <v>0</v>
      </c>
      <c r="BM29" s="68">
        <v>0</v>
      </c>
      <c r="BN29" s="68">
        <v>2211.1</v>
      </c>
      <c r="BO29" s="68">
        <v>5097.7</v>
      </c>
      <c r="BP29" s="68">
        <v>2444</v>
      </c>
      <c r="BQ29" s="68">
        <v>2691</v>
      </c>
      <c r="BR29" s="68">
        <v>0</v>
      </c>
      <c r="BS29" s="68">
        <v>83</v>
      </c>
      <c r="BT29" s="68">
        <v>0</v>
      </c>
      <c r="BU29" s="68">
        <v>2000.5</v>
      </c>
      <c r="BV29" s="68">
        <v>0</v>
      </c>
      <c r="BW29" s="68">
        <v>5939.71</v>
      </c>
      <c r="BX29" s="68">
        <v>949.6</v>
      </c>
      <c r="BY29" s="68">
        <v>5394</v>
      </c>
      <c r="BZ29" s="68">
        <v>0</v>
      </c>
      <c r="CA29" s="68">
        <v>877.4</v>
      </c>
      <c r="CB29" s="68">
        <v>1957</v>
      </c>
      <c r="CC29" s="68">
        <v>14633.3</v>
      </c>
      <c r="CD29" s="68">
        <v>2184.8</v>
      </c>
      <c r="CE29" s="68">
        <v>3503.3</v>
      </c>
      <c r="CF29" s="68">
        <v>3607.55</v>
      </c>
      <c r="CG29" s="68">
        <v>4129.2</v>
      </c>
      <c r="CH29" s="68">
        <v>13057.2</v>
      </c>
      <c r="CI29" s="68">
        <v>4228</v>
      </c>
      <c r="CJ29" s="68">
        <v>8070.4</v>
      </c>
      <c r="CK29" s="68">
        <v>5457.4</v>
      </c>
      <c r="CL29" s="68">
        <v>5756</v>
      </c>
      <c r="CM29" s="68">
        <v>8273.2</v>
      </c>
      <c r="CN29" s="68">
        <v>8352.5</v>
      </c>
      <c r="CO29" s="68">
        <v>3000</v>
      </c>
      <c r="CP29" s="68">
        <v>7744.5</v>
      </c>
      <c r="CQ29" s="68">
        <v>8001.5</v>
      </c>
      <c r="CR29" s="68">
        <v>3231</v>
      </c>
      <c r="CS29" s="68">
        <v>5305.4</v>
      </c>
      <c r="CT29" s="68">
        <v>3494.9</v>
      </c>
      <c r="CU29" s="68">
        <v>8899.1</v>
      </c>
      <c r="CV29" s="68">
        <v>5439.4</v>
      </c>
      <c r="CW29" s="68">
        <v>745.66</v>
      </c>
      <c r="CX29" s="68">
        <v>141.52</v>
      </c>
      <c r="CY29" s="68">
        <v>5047.45</v>
      </c>
      <c r="CZ29" s="68">
        <v>734.44</v>
      </c>
      <c r="DA29" s="68">
        <v>0</v>
      </c>
      <c r="DB29" s="68">
        <v>1092.2</v>
      </c>
      <c r="DC29" s="68">
        <v>0</v>
      </c>
    </row>
    <row r="30" spans="1:107">
      <c r="A30" s="57" t="s">
        <v>120</v>
      </c>
      <c r="B30" s="68">
        <v>1666306.33</v>
      </c>
      <c r="C30" s="68">
        <v>857338.09</v>
      </c>
      <c r="D30" s="68">
        <v>47321</v>
      </c>
      <c r="E30" s="68">
        <v>121932.78</v>
      </c>
      <c r="F30" s="68">
        <v>112648.97</v>
      </c>
      <c r="G30" s="68">
        <v>120133.61</v>
      </c>
      <c r="H30" s="68">
        <v>0</v>
      </c>
      <c r="I30" s="68">
        <v>0</v>
      </c>
      <c r="J30" s="68">
        <v>304985.86</v>
      </c>
      <c r="K30" s="68">
        <v>2330</v>
      </c>
      <c r="L30" s="68">
        <v>0</v>
      </c>
      <c r="M30" s="68">
        <v>0</v>
      </c>
      <c r="N30" s="68">
        <v>77616.02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20000</v>
      </c>
      <c r="W30" s="68">
        <v>0</v>
      </c>
      <c r="X30" s="68">
        <v>109697.78</v>
      </c>
      <c r="Y30" s="68">
        <v>0</v>
      </c>
      <c r="Z30" s="68">
        <v>9376</v>
      </c>
      <c r="AA30" s="68">
        <v>0</v>
      </c>
      <c r="AB30" s="68">
        <v>0</v>
      </c>
      <c r="AC30" s="68">
        <v>0</v>
      </c>
      <c r="AD30" s="68">
        <v>2859</v>
      </c>
      <c r="AE30" s="68">
        <v>0</v>
      </c>
      <c r="AF30" s="68">
        <v>36439</v>
      </c>
      <c r="AG30" s="68">
        <v>2482</v>
      </c>
      <c r="AH30" s="68">
        <v>3150</v>
      </c>
      <c r="AI30" s="68">
        <v>5250</v>
      </c>
      <c r="AJ30" s="68">
        <v>2000</v>
      </c>
      <c r="AK30" s="68">
        <v>24000</v>
      </c>
      <c r="AL30" s="68">
        <v>88648.97</v>
      </c>
      <c r="AM30" s="68">
        <v>0</v>
      </c>
      <c r="AN30" s="68">
        <v>0</v>
      </c>
      <c r="AO30" s="68">
        <v>16097</v>
      </c>
      <c r="AP30" s="68">
        <v>5020</v>
      </c>
      <c r="AQ30" s="68">
        <v>12498</v>
      </c>
      <c r="AR30" s="68">
        <v>9000</v>
      </c>
      <c r="AS30" s="68">
        <v>8800</v>
      </c>
      <c r="AT30" s="68">
        <v>18686.36</v>
      </c>
      <c r="AU30" s="68">
        <v>0</v>
      </c>
      <c r="AV30" s="68">
        <v>21211</v>
      </c>
      <c r="AW30" s="68">
        <v>28444.7</v>
      </c>
      <c r="AX30" s="68">
        <v>5350</v>
      </c>
      <c r="AY30" s="68">
        <v>28051.82</v>
      </c>
      <c r="AZ30" s="68">
        <v>11330.68</v>
      </c>
      <c r="BA30" s="68">
        <v>29043.05</v>
      </c>
      <c r="BB30" s="68">
        <v>31383.49</v>
      </c>
      <c r="BC30" s="68">
        <v>0</v>
      </c>
      <c r="BD30" s="68">
        <v>29917.64</v>
      </c>
      <c r="BE30" s="68">
        <v>6919</v>
      </c>
      <c r="BF30" s="68">
        <v>13749</v>
      </c>
      <c r="BG30" s="68">
        <v>18287.15</v>
      </c>
      <c r="BH30" s="68">
        <v>60327.5</v>
      </c>
      <c r="BI30" s="68">
        <v>21419.98</v>
      </c>
      <c r="BJ30" s="68">
        <v>0</v>
      </c>
      <c r="BK30" s="68">
        <v>44233.78</v>
      </c>
      <c r="BL30" s="68">
        <v>31495.46</v>
      </c>
      <c r="BM30" s="68">
        <v>14223.4</v>
      </c>
      <c r="BN30" s="68">
        <v>30530.21</v>
      </c>
      <c r="BO30" s="68">
        <v>0</v>
      </c>
      <c r="BP30" s="68">
        <v>18967</v>
      </c>
      <c r="BQ30" s="68">
        <v>14920</v>
      </c>
      <c r="BR30" s="68">
        <v>13500</v>
      </c>
      <c r="BS30" s="68">
        <v>2000</v>
      </c>
      <c r="BT30" s="68">
        <v>8499</v>
      </c>
      <c r="BU30" s="68">
        <v>38631.26</v>
      </c>
      <c r="BV30" s="68">
        <v>0</v>
      </c>
      <c r="BW30" s="68">
        <v>0</v>
      </c>
      <c r="BX30" s="68">
        <v>5100</v>
      </c>
      <c r="BY30" s="68">
        <v>29020.2</v>
      </c>
      <c r="BZ30" s="68">
        <v>8060</v>
      </c>
      <c r="CA30" s="68">
        <v>14539.03</v>
      </c>
      <c r="CB30" s="68">
        <v>23009</v>
      </c>
      <c r="CC30" s="68">
        <v>20464</v>
      </c>
      <c r="CD30" s="68">
        <v>35573.54</v>
      </c>
      <c r="CE30" s="68">
        <v>1611</v>
      </c>
      <c r="CF30" s="68">
        <v>0</v>
      </c>
      <c r="CG30" s="68">
        <v>12822.44</v>
      </c>
      <c r="CH30" s="68">
        <v>9494.4</v>
      </c>
      <c r="CI30" s="68">
        <v>476</v>
      </c>
      <c r="CJ30" s="68">
        <v>1800</v>
      </c>
      <c r="CK30" s="68">
        <v>6192</v>
      </c>
      <c r="CL30" s="68">
        <v>7200</v>
      </c>
      <c r="CM30" s="68">
        <v>19804</v>
      </c>
      <c r="CN30" s="68">
        <v>7199</v>
      </c>
      <c r="CO30" s="68">
        <v>0</v>
      </c>
      <c r="CP30" s="68">
        <v>5400</v>
      </c>
      <c r="CQ30" s="68">
        <v>7220</v>
      </c>
      <c r="CR30" s="68">
        <v>0</v>
      </c>
      <c r="CS30" s="68">
        <v>11324</v>
      </c>
      <c r="CT30" s="68">
        <v>0</v>
      </c>
      <c r="CU30" s="68">
        <v>16909</v>
      </c>
      <c r="CV30" s="68">
        <v>7639</v>
      </c>
      <c r="CW30" s="68">
        <v>0</v>
      </c>
      <c r="CX30" s="68">
        <v>3700</v>
      </c>
      <c r="CY30" s="68">
        <v>9248</v>
      </c>
      <c r="CZ30" s="68">
        <v>0</v>
      </c>
      <c r="DA30" s="68">
        <v>0</v>
      </c>
      <c r="DB30" s="68">
        <v>997</v>
      </c>
      <c r="DC30" s="68">
        <v>0</v>
      </c>
    </row>
    <row r="31" spans="1:107">
      <c r="A31" s="57" t="s">
        <v>121</v>
      </c>
      <c r="B31" s="68">
        <v>3651278.17</v>
      </c>
      <c r="C31" s="68">
        <v>3333109.79</v>
      </c>
      <c r="D31" s="68">
        <v>1997</v>
      </c>
      <c r="E31" s="68">
        <v>131370.38</v>
      </c>
      <c r="F31" s="68">
        <v>184801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131370.38</v>
      </c>
      <c r="AE31" s="68">
        <v>0</v>
      </c>
      <c r="AF31" s="68">
        <v>0</v>
      </c>
      <c r="AG31" s="68">
        <v>0</v>
      </c>
      <c r="AH31" s="68">
        <v>1997</v>
      </c>
      <c r="AI31" s="68">
        <v>0</v>
      </c>
      <c r="AJ31" s="68">
        <v>0</v>
      </c>
      <c r="AK31" s="68">
        <v>184801</v>
      </c>
      <c r="AL31" s="68">
        <v>0</v>
      </c>
      <c r="AM31" s="68">
        <v>0</v>
      </c>
      <c r="AN31" s="68">
        <v>0</v>
      </c>
      <c r="AO31" s="68">
        <v>11100</v>
      </c>
      <c r="AP31" s="68">
        <v>0</v>
      </c>
      <c r="AQ31" s="68">
        <v>0</v>
      </c>
      <c r="AR31" s="68">
        <v>0</v>
      </c>
      <c r="AS31" s="68">
        <v>975</v>
      </c>
      <c r="AT31" s="68">
        <v>55993.22</v>
      </c>
      <c r="AU31" s="68">
        <v>150107.62</v>
      </c>
      <c r="AV31" s="68">
        <v>132724.79</v>
      </c>
      <c r="AW31" s="68">
        <v>161477.8</v>
      </c>
      <c r="AX31" s="68">
        <v>120604.37</v>
      </c>
      <c r="AY31" s="68">
        <v>182268.28</v>
      </c>
      <c r="AZ31" s="68">
        <v>171743.72</v>
      </c>
      <c r="BA31" s="68">
        <v>327811.56</v>
      </c>
      <c r="BB31" s="68">
        <v>34148.33</v>
      </c>
      <c r="BC31" s="68">
        <v>52546.2</v>
      </c>
      <c r="BD31" s="68">
        <v>44548.54</v>
      </c>
      <c r="BE31" s="68">
        <v>69890.32</v>
      </c>
      <c r="BF31" s="68">
        <v>44626.57</v>
      </c>
      <c r="BG31" s="68">
        <v>156581.12</v>
      </c>
      <c r="BH31" s="68">
        <v>21197.07</v>
      </c>
      <c r="BI31" s="68">
        <v>82266.84</v>
      </c>
      <c r="BJ31" s="68">
        <v>90982.09</v>
      </c>
      <c r="BK31" s="68">
        <v>164926.83</v>
      </c>
      <c r="BL31" s="68">
        <v>102553.46</v>
      </c>
      <c r="BM31" s="68">
        <v>96451.93</v>
      </c>
      <c r="BN31" s="68">
        <v>96064.14</v>
      </c>
      <c r="BO31" s="68">
        <v>32461.9</v>
      </c>
      <c r="BP31" s="68">
        <v>40888.15</v>
      </c>
      <c r="BQ31" s="68">
        <v>32710.82</v>
      </c>
      <c r="BR31" s="68">
        <v>23287.56</v>
      </c>
      <c r="BS31" s="68">
        <v>54603.74</v>
      </c>
      <c r="BT31" s="68">
        <v>40471.7</v>
      </c>
      <c r="BU31" s="68">
        <v>122299.48</v>
      </c>
      <c r="BV31" s="68">
        <v>72923.45</v>
      </c>
      <c r="BW31" s="68">
        <v>4208.86</v>
      </c>
      <c r="BX31" s="68">
        <v>38362.21</v>
      </c>
      <c r="BY31" s="68">
        <v>35105.29</v>
      </c>
      <c r="BZ31" s="68">
        <v>12224.77</v>
      </c>
      <c r="CA31" s="68">
        <v>45255.39</v>
      </c>
      <c r="CB31" s="68">
        <v>55460.48</v>
      </c>
      <c r="CC31" s="68">
        <v>133955.08</v>
      </c>
      <c r="CD31" s="68">
        <v>182682.78</v>
      </c>
      <c r="CE31" s="68">
        <v>10186.5</v>
      </c>
      <c r="CF31" s="68">
        <v>30</v>
      </c>
      <c r="CG31" s="68">
        <v>165.45</v>
      </c>
      <c r="CH31" s="68">
        <v>4053.74</v>
      </c>
      <c r="CI31" s="68">
        <v>0</v>
      </c>
      <c r="CJ31" s="68">
        <v>1144.05</v>
      </c>
      <c r="CK31" s="68">
        <v>20</v>
      </c>
      <c r="CL31" s="68">
        <v>0</v>
      </c>
      <c r="CM31" s="68">
        <v>5531.8</v>
      </c>
      <c r="CN31" s="68">
        <v>118.9</v>
      </c>
      <c r="CO31" s="68">
        <v>0</v>
      </c>
      <c r="CP31" s="68">
        <v>1078.14</v>
      </c>
      <c r="CQ31" s="68">
        <v>4416.41</v>
      </c>
      <c r="CR31" s="68">
        <v>0</v>
      </c>
      <c r="CS31" s="68">
        <v>140.89</v>
      </c>
      <c r="CT31" s="68">
        <v>5</v>
      </c>
      <c r="CU31" s="68">
        <v>1384.55</v>
      </c>
      <c r="CV31" s="68">
        <v>22</v>
      </c>
      <c r="CW31" s="68">
        <v>0</v>
      </c>
      <c r="CX31" s="68">
        <v>0</v>
      </c>
      <c r="CY31" s="68">
        <v>42</v>
      </c>
      <c r="CZ31" s="68">
        <v>0</v>
      </c>
      <c r="DA31" s="68">
        <v>0</v>
      </c>
      <c r="DB31" s="68">
        <v>2003</v>
      </c>
      <c r="DC31" s="68">
        <v>4275.9</v>
      </c>
    </row>
    <row r="32" spans="1:107">
      <c r="A32" s="57" t="s">
        <v>122</v>
      </c>
      <c r="B32" s="68">
        <v>414563.12</v>
      </c>
      <c r="C32" s="68">
        <v>50769.91</v>
      </c>
      <c r="D32" s="68">
        <v>17990</v>
      </c>
      <c r="E32" s="68">
        <v>43324.1</v>
      </c>
      <c r="F32" s="68">
        <v>21616</v>
      </c>
      <c r="G32" s="68">
        <v>172484</v>
      </c>
      <c r="H32" s="68">
        <v>0</v>
      </c>
      <c r="I32" s="68">
        <v>11190.0000000002</v>
      </c>
      <c r="J32" s="68">
        <v>4800</v>
      </c>
      <c r="K32" s="68">
        <v>0</v>
      </c>
      <c r="L32" s="68">
        <v>0</v>
      </c>
      <c r="M32" s="68">
        <v>0</v>
      </c>
      <c r="N32" s="68">
        <v>0</v>
      </c>
      <c r="O32" s="68">
        <v>44608</v>
      </c>
      <c r="P32" s="68">
        <v>0</v>
      </c>
      <c r="Q32" s="68">
        <v>0</v>
      </c>
      <c r="R32" s="68">
        <v>12268.5</v>
      </c>
      <c r="S32" s="68">
        <v>12681.54</v>
      </c>
      <c r="T32" s="68">
        <v>0</v>
      </c>
      <c r="U32" s="68">
        <v>0</v>
      </c>
      <c r="V32" s="68">
        <v>0</v>
      </c>
      <c r="W32" s="68">
        <v>0</v>
      </c>
      <c r="X32" s="68">
        <v>13539.06</v>
      </c>
      <c r="Y32" s="68">
        <v>0</v>
      </c>
      <c r="Z32" s="68">
        <v>1270</v>
      </c>
      <c r="AA32" s="68">
        <v>0</v>
      </c>
      <c r="AB32" s="68">
        <v>13739.04</v>
      </c>
      <c r="AC32" s="68">
        <v>5610</v>
      </c>
      <c r="AD32" s="68">
        <v>9166</v>
      </c>
      <c r="AE32" s="68">
        <v>0</v>
      </c>
      <c r="AF32" s="68">
        <v>8390</v>
      </c>
      <c r="AG32" s="68">
        <v>1600</v>
      </c>
      <c r="AH32" s="68">
        <v>0</v>
      </c>
      <c r="AI32" s="68">
        <v>8000</v>
      </c>
      <c r="AJ32" s="68">
        <v>22831.07</v>
      </c>
      <c r="AK32" s="68">
        <v>4520</v>
      </c>
      <c r="AL32" s="68">
        <v>12290</v>
      </c>
      <c r="AM32" s="68">
        <v>4806</v>
      </c>
      <c r="AN32" s="68">
        <v>0</v>
      </c>
      <c r="AO32" s="68">
        <v>0</v>
      </c>
      <c r="AP32" s="68">
        <v>0</v>
      </c>
      <c r="AQ32" s="68">
        <v>0</v>
      </c>
      <c r="AR32" s="68">
        <v>0</v>
      </c>
      <c r="AS32" s="68">
        <v>0</v>
      </c>
      <c r="AT32" s="68">
        <v>0</v>
      </c>
      <c r="AU32" s="68">
        <v>2700</v>
      </c>
      <c r="AV32" s="68">
        <v>0</v>
      </c>
      <c r="AW32" s="68">
        <v>0</v>
      </c>
      <c r="AX32" s="68">
        <v>0</v>
      </c>
      <c r="AY32" s="68">
        <v>0</v>
      </c>
      <c r="AZ32" s="68">
        <v>0</v>
      </c>
      <c r="BA32" s="68">
        <v>0</v>
      </c>
      <c r="BB32" s="68">
        <v>0</v>
      </c>
      <c r="BC32" s="68">
        <v>0</v>
      </c>
      <c r="BD32" s="68">
        <v>3320</v>
      </c>
      <c r="BE32" s="68">
        <v>0</v>
      </c>
      <c r="BF32" s="68">
        <v>1550</v>
      </c>
      <c r="BG32" s="68">
        <v>0</v>
      </c>
      <c r="BH32" s="68">
        <v>0</v>
      </c>
      <c r="BI32" s="68">
        <v>0</v>
      </c>
      <c r="BJ32" s="68">
        <v>0</v>
      </c>
      <c r="BK32" s="68">
        <v>0</v>
      </c>
      <c r="BL32" s="68">
        <v>0</v>
      </c>
      <c r="BM32" s="68">
        <v>0</v>
      </c>
      <c r="BN32" s="68">
        <v>0</v>
      </c>
      <c r="BO32" s="68">
        <v>38834.95</v>
      </c>
      <c r="BP32" s="68">
        <v>0</v>
      </c>
      <c r="BQ32" s="68">
        <v>0</v>
      </c>
      <c r="BR32" s="68">
        <v>0</v>
      </c>
      <c r="BS32" s="68">
        <v>0</v>
      </c>
      <c r="BT32" s="68">
        <v>0</v>
      </c>
      <c r="BU32" s="68">
        <v>0</v>
      </c>
      <c r="BV32" s="68">
        <v>0</v>
      </c>
      <c r="BW32" s="68">
        <v>0</v>
      </c>
      <c r="BX32" s="68">
        <v>0</v>
      </c>
      <c r="BY32" s="68">
        <v>0</v>
      </c>
      <c r="BZ32" s="68">
        <v>0</v>
      </c>
      <c r="CA32" s="68">
        <v>0</v>
      </c>
      <c r="CB32" s="68">
        <v>2800</v>
      </c>
      <c r="CC32" s="68">
        <v>1564.96</v>
      </c>
      <c r="CD32" s="68">
        <v>0</v>
      </c>
      <c r="CE32" s="68">
        <v>0</v>
      </c>
      <c r="CF32" s="68">
        <v>0</v>
      </c>
      <c r="CG32" s="68">
        <v>0</v>
      </c>
      <c r="CH32" s="68">
        <v>0</v>
      </c>
      <c r="CI32" s="68">
        <v>0</v>
      </c>
      <c r="CJ32" s="68">
        <v>0</v>
      </c>
      <c r="CK32" s="68">
        <v>0</v>
      </c>
      <c r="CL32" s="68">
        <v>0</v>
      </c>
      <c r="CM32" s="68">
        <v>0</v>
      </c>
      <c r="CN32" s="68">
        <v>0</v>
      </c>
      <c r="CO32" s="68">
        <v>0</v>
      </c>
      <c r="CP32" s="68">
        <v>0</v>
      </c>
      <c r="CQ32" s="68">
        <v>0</v>
      </c>
      <c r="CR32" s="68">
        <v>0</v>
      </c>
      <c r="CS32" s="68">
        <v>0</v>
      </c>
      <c r="CT32" s="68">
        <v>0</v>
      </c>
      <c r="CU32" s="68">
        <v>0</v>
      </c>
      <c r="CV32" s="68">
        <v>0</v>
      </c>
      <c r="CW32" s="68">
        <v>0</v>
      </c>
      <c r="CX32" s="68">
        <v>0</v>
      </c>
      <c r="CY32" s="68">
        <v>0</v>
      </c>
      <c r="CZ32" s="68">
        <v>0</v>
      </c>
      <c r="DA32" s="68">
        <v>0</v>
      </c>
      <c r="DB32" s="68">
        <v>0</v>
      </c>
      <c r="DC32" s="68">
        <v>0</v>
      </c>
    </row>
    <row r="33" s="61" customFormat="1" spans="1:107">
      <c r="A33" s="69" t="s">
        <v>102</v>
      </c>
      <c r="B33" s="70">
        <v>50828954.92</v>
      </c>
      <c r="C33" s="70">
        <v>25727973.04</v>
      </c>
      <c r="D33" s="70">
        <v>11126218.17</v>
      </c>
      <c r="E33" s="70">
        <v>3565179.08</v>
      </c>
      <c r="F33" s="70">
        <v>2186573.72</v>
      </c>
      <c r="G33" s="70">
        <v>954331.59</v>
      </c>
      <c r="H33" s="70">
        <v>1085002.03</v>
      </c>
      <c r="I33" s="70">
        <v>217013.18</v>
      </c>
      <c r="J33" s="70">
        <v>2435483.93</v>
      </c>
      <c r="K33" s="70">
        <v>205609.56</v>
      </c>
      <c r="L33" s="70">
        <v>355611.2</v>
      </c>
      <c r="M33" s="70">
        <v>190052.68</v>
      </c>
      <c r="N33" s="70">
        <v>190866.32</v>
      </c>
      <c r="O33" s="70">
        <v>187579.61</v>
      </c>
      <c r="P33" s="70">
        <v>84061.87</v>
      </c>
      <c r="Q33" s="70">
        <v>82512.19</v>
      </c>
      <c r="R33" s="70">
        <v>150199.45</v>
      </c>
      <c r="S33" s="70">
        <v>486986.73</v>
      </c>
      <c r="T33" s="70">
        <v>46998.97</v>
      </c>
      <c r="U33" s="70">
        <v>119257.75</v>
      </c>
      <c r="V33" s="70">
        <v>20000</v>
      </c>
      <c r="W33" s="70">
        <v>0</v>
      </c>
      <c r="X33" s="70">
        <v>427349.49</v>
      </c>
      <c r="Y33" s="70">
        <v>2458.4</v>
      </c>
      <c r="Z33" s="70">
        <v>847744.34</v>
      </c>
      <c r="AA33" s="70">
        <v>3776.58</v>
      </c>
      <c r="AB33" s="70">
        <v>782756.26</v>
      </c>
      <c r="AC33" s="70">
        <v>819078.23</v>
      </c>
      <c r="AD33" s="70">
        <v>653580.68</v>
      </c>
      <c r="AE33" s="70">
        <v>28435.1</v>
      </c>
      <c r="AF33" s="70">
        <v>348751.2</v>
      </c>
      <c r="AG33" s="70">
        <v>7109514.2</v>
      </c>
      <c r="AH33" s="70">
        <v>2383668.37</v>
      </c>
      <c r="AI33" s="70">
        <v>1284284.4</v>
      </c>
      <c r="AJ33" s="70">
        <v>1410666.85</v>
      </c>
      <c r="AK33" s="70">
        <v>1511647.26</v>
      </c>
      <c r="AL33" s="70">
        <v>589755.9</v>
      </c>
      <c r="AM33" s="70">
        <v>85170.56</v>
      </c>
      <c r="AN33" s="70">
        <v>777</v>
      </c>
      <c r="AO33" s="70">
        <v>6803859.14</v>
      </c>
      <c r="AP33" s="70">
        <v>282395.92</v>
      </c>
      <c r="AQ33" s="70">
        <v>344161.97</v>
      </c>
      <c r="AR33" s="70">
        <v>248696.87</v>
      </c>
      <c r="AS33" s="70">
        <v>520576.77</v>
      </c>
      <c r="AT33" s="70">
        <v>688496.88</v>
      </c>
      <c r="AU33" s="70">
        <v>749965.9</v>
      </c>
      <c r="AV33" s="70">
        <v>845143.87</v>
      </c>
      <c r="AW33" s="70">
        <v>783421.12</v>
      </c>
      <c r="AX33" s="70">
        <v>584631.07</v>
      </c>
      <c r="AY33" s="70">
        <v>830063.85</v>
      </c>
      <c r="AZ33" s="70">
        <v>404222.49</v>
      </c>
      <c r="BA33" s="70">
        <v>909444.63</v>
      </c>
      <c r="BB33" s="70">
        <v>425909.62</v>
      </c>
      <c r="BC33" s="70">
        <v>189405.73</v>
      </c>
      <c r="BD33" s="70">
        <v>824567.3</v>
      </c>
      <c r="BE33" s="70">
        <v>404438.68</v>
      </c>
      <c r="BF33" s="70">
        <v>557990.53</v>
      </c>
      <c r="BG33" s="70">
        <v>768399.57</v>
      </c>
      <c r="BH33" s="70">
        <v>312089.85</v>
      </c>
      <c r="BI33" s="70">
        <v>441051.11</v>
      </c>
      <c r="BJ33" s="70">
        <v>260574.21</v>
      </c>
      <c r="BK33" s="70">
        <v>526499.42</v>
      </c>
      <c r="BL33" s="70">
        <v>283573.73</v>
      </c>
      <c r="BM33" s="70">
        <v>255903.76</v>
      </c>
      <c r="BN33" s="70">
        <v>310572.02</v>
      </c>
      <c r="BO33" s="70">
        <v>496416.28</v>
      </c>
      <c r="BP33" s="70">
        <v>288956</v>
      </c>
      <c r="BQ33" s="70">
        <v>237258.98</v>
      </c>
      <c r="BR33" s="70">
        <v>183281.53</v>
      </c>
      <c r="BS33" s="70">
        <v>277844.04</v>
      </c>
      <c r="BT33" s="70">
        <v>134180.65</v>
      </c>
      <c r="BU33" s="70">
        <v>381910.85</v>
      </c>
      <c r="BV33" s="70">
        <v>185788.57</v>
      </c>
      <c r="BW33" s="70">
        <v>127810.09</v>
      </c>
      <c r="BX33" s="70">
        <v>119098.89</v>
      </c>
      <c r="BY33" s="70">
        <v>253540.28</v>
      </c>
      <c r="BZ33" s="70">
        <v>120622.38</v>
      </c>
      <c r="CA33" s="70">
        <v>135512.78</v>
      </c>
      <c r="CB33" s="70">
        <v>189606.19</v>
      </c>
      <c r="CC33" s="70">
        <v>420268.03</v>
      </c>
      <c r="CD33" s="70">
        <v>487877.83</v>
      </c>
      <c r="CE33" s="70">
        <v>136727.21</v>
      </c>
      <c r="CF33" s="70">
        <v>31904.75</v>
      </c>
      <c r="CG33" s="70">
        <v>86960.82</v>
      </c>
      <c r="CH33" s="70">
        <v>106368.82</v>
      </c>
      <c r="CI33" s="70">
        <v>115006.53</v>
      </c>
      <c r="CJ33" s="70">
        <v>44169.85</v>
      </c>
      <c r="CK33" s="70">
        <v>120533.84</v>
      </c>
      <c r="CL33" s="70">
        <v>141091.06</v>
      </c>
      <c r="CM33" s="70">
        <v>111723.81</v>
      </c>
      <c r="CN33" s="70">
        <v>112510.51</v>
      </c>
      <c r="CO33" s="70">
        <v>61441.5</v>
      </c>
      <c r="CP33" s="70">
        <v>101753.81</v>
      </c>
      <c r="CQ33" s="70">
        <v>133082.24</v>
      </c>
      <c r="CR33" s="70">
        <v>98545.88</v>
      </c>
      <c r="CS33" s="70">
        <v>85196.94</v>
      </c>
      <c r="CT33" s="70">
        <v>76354.43</v>
      </c>
      <c r="CU33" s="70">
        <v>106193.65</v>
      </c>
      <c r="CV33" s="70">
        <v>70383.16</v>
      </c>
      <c r="CW33" s="70">
        <v>21883.56</v>
      </c>
      <c r="CX33" s="70">
        <v>69351.12</v>
      </c>
      <c r="CY33" s="70">
        <v>120457.04</v>
      </c>
      <c r="CZ33" s="70">
        <v>96425.14</v>
      </c>
      <c r="DA33" s="70">
        <v>21004.89</v>
      </c>
      <c r="DB33" s="70">
        <v>34292.66</v>
      </c>
      <c r="DC33" s="75">
        <v>28580.44</v>
      </c>
    </row>
    <row r="34" spans="1:107">
      <c r="A34" s="57" t="s">
        <v>124</v>
      </c>
      <c r="B34" s="68">
        <v>2326698.45</v>
      </c>
      <c r="C34" s="68">
        <v>1657525.66</v>
      </c>
      <c r="D34" s="68">
        <v>40719.49</v>
      </c>
      <c r="E34" s="68">
        <v>64124.87</v>
      </c>
      <c r="F34" s="68">
        <v>53823.6</v>
      </c>
      <c r="G34" s="68">
        <v>0</v>
      </c>
      <c r="H34" s="68">
        <v>0</v>
      </c>
      <c r="I34" s="68">
        <v>0</v>
      </c>
      <c r="J34" s="68">
        <v>489855.18</v>
      </c>
      <c r="K34" s="68">
        <v>0</v>
      </c>
      <c r="L34" s="68">
        <v>0</v>
      </c>
      <c r="M34" s="68">
        <v>0</v>
      </c>
      <c r="N34" s="68">
        <v>2706</v>
      </c>
      <c r="O34" s="68">
        <v>0</v>
      </c>
      <c r="P34" s="68">
        <v>0</v>
      </c>
      <c r="Q34" s="68">
        <v>0</v>
      </c>
      <c r="R34" s="68">
        <v>0</v>
      </c>
      <c r="S34" s="68">
        <v>264</v>
      </c>
      <c r="T34" s="68">
        <v>0</v>
      </c>
      <c r="U34" s="68">
        <v>0</v>
      </c>
      <c r="V34" s="68">
        <v>0</v>
      </c>
      <c r="W34" s="68">
        <v>0</v>
      </c>
      <c r="X34" s="68">
        <v>-6593.73</v>
      </c>
      <c r="Y34" s="68">
        <v>0</v>
      </c>
      <c r="Z34" s="68">
        <v>17679.65</v>
      </c>
      <c r="AA34" s="68">
        <v>0</v>
      </c>
      <c r="AB34" s="68">
        <v>17679.65</v>
      </c>
      <c r="AC34" s="68">
        <v>17679.65</v>
      </c>
      <c r="AD34" s="68">
        <v>17679.65</v>
      </c>
      <c r="AE34" s="68">
        <v>0</v>
      </c>
      <c r="AF34" s="68">
        <v>14181.32</v>
      </c>
      <c r="AG34" s="68">
        <v>9449.72</v>
      </c>
      <c r="AH34" s="68">
        <v>17088.45</v>
      </c>
      <c r="AI34" s="68">
        <v>0</v>
      </c>
      <c r="AJ34" s="68">
        <v>17679.65</v>
      </c>
      <c r="AK34" s="68">
        <v>26911.89</v>
      </c>
      <c r="AL34" s="68">
        <v>26911.71</v>
      </c>
      <c r="AM34" s="68">
        <v>0</v>
      </c>
      <c r="AN34" s="68">
        <v>0</v>
      </c>
      <c r="AO34" s="68">
        <v>0</v>
      </c>
      <c r="AP34" s="68">
        <v>0</v>
      </c>
      <c r="AQ34" s="68">
        <v>0</v>
      </c>
      <c r="AR34" s="68">
        <v>0</v>
      </c>
      <c r="AS34" s="68">
        <v>0</v>
      </c>
      <c r="AT34" s="68">
        <v>105396</v>
      </c>
      <c r="AU34" s="68">
        <v>100322.8</v>
      </c>
      <c r="AV34" s="68">
        <v>13211.03</v>
      </c>
      <c r="AW34" s="68">
        <v>102157</v>
      </c>
      <c r="AX34" s="68">
        <v>74311.84</v>
      </c>
      <c r="AY34" s="68">
        <v>92120.12</v>
      </c>
      <c r="AZ34" s="68">
        <v>27590.5</v>
      </c>
      <c r="BA34" s="68">
        <v>154182</v>
      </c>
      <c r="BB34" s="68">
        <v>14067</v>
      </c>
      <c r="BC34" s="68">
        <v>29626.01</v>
      </c>
      <c r="BD34" s="68">
        <v>44922.48</v>
      </c>
      <c r="BE34" s="68">
        <v>88256</v>
      </c>
      <c r="BF34" s="68">
        <v>87507.36</v>
      </c>
      <c r="BG34" s="68">
        <v>54120.35</v>
      </c>
      <c r="BH34" s="68">
        <v>75114.46</v>
      </c>
      <c r="BI34" s="68">
        <v>24382.4</v>
      </c>
      <c r="BJ34" s="68">
        <v>64254.76</v>
      </c>
      <c r="BK34" s="68">
        <v>63658.55</v>
      </c>
      <c r="BL34" s="68">
        <v>46837.6</v>
      </c>
      <c r="BM34" s="68">
        <v>33483.23</v>
      </c>
      <c r="BN34" s="68">
        <v>36185.33</v>
      </c>
      <c r="BO34" s="68">
        <v>125021.09</v>
      </c>
      <c r="BP34" s="68">
        <v>6530</v>
      </c>
      <c r="BQ34" s="68">
        <v>8204</v>
      </c>
      <c r="BR34" s="68">
        <v>11607.03</v>
      </c>
      <c r="BS34" s="68">
        <v>9095</v>
      </c>
      <c r="BT34" s="68">
        <v>11518</v>
      </c>
      <c r="BU34" s="68">
        <v>10767.96</v>
      </c>
      <c r="BV34" s="68">
        <v>21462</v>
      </c>
      <c r="BW34" s="68">
        <v>18708.75</v>
      </c>
      <c r="BX34" s="68">
        <v>6577.61</v>
      </c>
      <c r="BY34" s="68">
        <v>21364</v>
      </c>
      <c r="BZ34" s="68">
        <v>5351.25</v>
      </c>
      <c r="CA34" s="68">
        <v>11030</v>
      </c>
      <c r="CB34" s="68">
        <v>460</v>
      </c>
      <c r="CC34" s="68">
        <v>22490.25</v>
      </c>
      <c r="CD34" s="68">
        <v>12444.16</v>
      </c>
      <c r="CE34" s="68">
        <v>897</v>
      </c>
      <c r="CF34" s="68">
        <v>0</v>
      </c>
      <c r="CG34" s="68">
        <v>2750.46</v>
      </c>
      <c r="CH34" s="68">
        <v>521.6</v>
      </c>
      <c r="CI34" s="68">
        <v>0</v>
      </c>
      <c r="CJ34" s="68">
        <v>987</v>
      </c>
      <c r="CK34" s="68">
        <v>1</v>
      </c>
      <c r="CL34" s="68">
        <v>4516</v>
      </c>
      <c r="CM34" s="68">
        <v>3838.5</v>
      </c>
      <c r="CN34" s="68">
        <v>2641</v>
      </c>
      <c r="CO34" s="68">
        <v>315.84</v>
      </c>
      <c r="CP34" s="68">
        <v>3</v>
      </c>
      <c r="CQ34" s="68">
        <v>2453</v>
      </c>
      <c r="CR34" s="68">
        <v>0</v>
      </c>
      <c r="CS34" s="68">
        <v>2452.6</v>
      </c>
      <c r="CT34" s="68">
        <v>0</v>
      </c>
      <c r="CU34" s="68">
        <v>503</v>
      </c>
      <c r="CV34" s="68">
        <v>0</v>
      </c>
      <c r="CW34" s="68">
        <v>500</v>
      </c>
      <c r="CX34" s="68">
        <v>0</v>
      </c>
      <c r="CY34" s="68">
        <v>655.7</v>
      </c>
      <c r="CZ34" s="68">
        <v>0</v>
      </c>
      <c r="DA34" s="68">
        <v>0</v>
      </c>
      <c r="DB34" s="68">
        <v>0.24</v>
      </c>
      <c r="DC34" s="68">
        <v>151.8</v>
      </c>
    </row>
    <row r="35" spans="1:107">
      <c r="A35" s="57" t="s">
        <v>125</v>
      </c>
      <c r="B35" s="68">
        <v>1915343.86</v>
      </c>
      <c r="C35" s="68">
        <v>1043489.54</v>
      </c>
      <c r="D35" s="68">
        <v>49883.56</v>
      </c>
      <c r="E35" s="68">
        <v>242200.85</v>
      </c>
      <c r="F35" s="68">
        <v>70019.73</v>
      </c>
      <c r="G35" s="68">
        <v>31260.75</v>
      </c>
      <c r="H35" s="68">
        <v>126141.6</v>
      </c>
      <c r="I35" s="68">
        <v>5496.07</v>
      </c>
      <c r="J35" s="68">
        <v>246696.08</v>
      </c>
      <c r="K35" s="68">
        <v>20462.58</v>
      </c>
      <c r="L35" s="68">
        <v>1448.19</v>
      </c>
      <c r="M35" s="68">
        <v>1909.49</v>
      </c>
      <c r="N35" s="68">
        <v>6108.39</v>
      </c>
      <c r="O35" s="68">
        <v>886.74</v>
      </c>
      <c r="P35" s="68">
        <v>4187.13</v>
      </c>
      <c r="Q35" s="68">
        <v>2953.05</v>
      </c>
      <c r="R35" s="68">
        <v>4078.08</v>
      </c>
      <c r="S35" s="68">
        <v>9301.75</v>
      </c>
      <c r="T35" s="68">
        <v>10294.84</v>
      </c>
      <c r="U35" s="68">
        <v>29653.04</v>
      </c>
      <c r="V35" s="68">
        <v>0</v>
      </c>
      <c r="W35" s="68">
        <v>0</v>
      </c>
      <c r="X35" s="68">
        <v>71302.87</v>
      </c>
      <c r="Y35" s="68">
        <v>0</v>
      </c>
      <c r="Z35" s="68">
        <v>75278.88</v>
      </c>
      <c r="AA35" s="68">
        <v>0</v>
      </c>
      <c r="AB35" s="68">
        <v>28114.79</v>
      </c>
      <c r="AC35" s="68">
        <v>43567.36</v>
      </c>
      <c r="AD35" s="68">
        <v>23916.2</v>
      </c>
      <c r="AE35" s="68">
        <v>20.75</v>
      </c>
      <c r="AF35" s="68">
        <v>6647.34</v>
      </c>
      <c r="AG35" s="68">
        <v>10538.9</v>
      </c>
      <c r="AH35" s="68">
        <v>9099.24</v>
      </c>
      <c r="AI35" s="68">
        <v>23598.08</v>
      </c>
      <c r="AJ35" s="68">
        <v>8872.4</v>
      </c>
      <c r="AK35" s="68">
        <v>48464.35</v>
      </c>
      <c r="AL35" s="68">
        <v>18617.1</v>
      </c>
      <c r="AM35" s="68">
        <v>2938.28</v>
      </c>
      <c r="AN35" s="68">
        <v>0</v>
      </c>
      <c r="AO35" s="68">
        <v>2789.7</v>
      </c>
      <c r="AP35" s="68">
        <v>6650.66</v>
      </c>
      <c r="AQ35" s="68">
        <v>28676.09</v>
      </c>
      <c r="AR35" s="68">
        <v>13357.46</v>
      </c>
      <c r="AS35" s="68">
        <v>10198.81</v>
      </c>
      <c r="AT35" s="68">
        <v>28855.98</v>
      </c>
      <c r="AU35" s="68">
        <v>48492.25</v>
      </c>
      <c r="AV35" s="68">
        <v>20172.15</v>
      </c>
      <c r="AW35" s="68">
        <v>45552.31</v>
      </c>
      <c r="AX35" s="68">
        <v>24688.33</v>
      </c>
      <c r="AY35" s="68">
        <v>48003.65</v>
      </c>
      <c r="AZ35" s="68">
        <v>32895.19</v>
      </c>
      <c r="BA35" s="68">
        <v>25786.9</v>
      </c>
      <c r="BB35" s="68">
        <v>40916.12</v>
      </c>
      <c r="BC35" s="68">
        <v>35690.67</v>
      </c>
      <c r="BD35" s="68">
        <v>44801.79</v>
      </c>
      <c r="BE35" s="68">
        <v>46255.79</v>
      </c>
      <c r="BF35" s="68">
        <v>68456.62</v>
      </c>
      <c r="BG35" s="68">
        <v>47863.04</v>
      </c>
      <c r="BH35" s="68">
        <v>18629.99</v>
      </c>
      <c r="BI35" s="68">
        <v>12150</v>
      </c>
      <c r="BJ35" s="68">
        <v>12902.66</v>
      </c>
      <c r="BK35" s="68">
        <v>26215.59</v>
      </c>
      <c r="BL35" s="68">
        <v>12106.92</v>
      </c>
      <c r="BM35" s="68">
        <v>13352</v>
      </c>
      <c r="BN35" s="68">
        <v>14519.7</v>
      </c>
      <c r="BO35" s="68">
        <v>15703.83</v>
      </c>
      <c r="BP35" s="68">
        <v>7037.02</v>
      </c>
      <c r="BQ35" s="68">
        <v>2927.5</v>
      </c>
      <c r="BR35" s="68">
        <v>11168.74</v>
      </c>
      <c r="BS35" s="68">
        <v>2539</v>
      </c>
      <c r="BT35" s="68">
        <v>3173.66</v>
      </c>
      <c r="BU35" s="68">
        <v>17922.46</v>
      </c>
      <c r="BV35" s="68">
        <v>2681</v>
      </c>
      <c r="BW35" s="68">
        <v>109626.95</v>
      </c>
      <c r="BX35" s="68">
        <v>6460.5</v>
      </c>
      <c r="BY35" s="68">
        <v>4434.99</v>
      </c>
      <c r="BZ35" s="68">
        <v>5171.75</v>
      </c>
      <c r="CA35" s="68">
        <v>6725</v>
      </c>
      <c r="CB35" s="68">
        <v>5924.6</v>
      </c>
      <c r="CC35" s="68">
        <v>23508.83</v>
      </c>
      <c r="CD35" s="68">
        <v>17959.35</v>
      </c>
      <c r="CE35" s="68">
        <v>1728</v>
      </c>
      <c r="CF35" s="68">
        <v>584</v>
      </c>
      <c r="CG35" s="68">
        <v>325</v>
      </c>
      <c r="CH35" s="68">
        <v>1300</v>
      </c>
      <c r="CI35" s="68">
        <v>4790</v>
      </c>
      <c r="CJ35" s="68">
        <v>280</v>
      </c>
      <c r="CK35" s="68">
        <v>2410</v>
      </c>
      <c r="CL35" s="68">
        <v>1044</v>
      </c>
      <c r="CM35" s="68">
        <v>4595.61</v>
      </c>
      <c r="CN35" s="68">
        <v>3733</v>
      </c>
      <c r="CO35" s="68">
        <v>3090</v>
      </c>
      <c r="CP35" s="68">
        <v>3640</v>
      </c>
      <c r="CQ35" s="68">
        <v>3634</v>
      </c>
      <c r="CR35" s="68">
        <v>4726</v>
      </c>
      <c r="CS35" s="68">
        <v>1281</v>
      </c>
      <c r="CT35" s="68">
        <v>0</v>
      </c>
      <c r="CU35" s="68">
        <v>832</v>
      </c>
      <c r="CV35" s="68">
        <v>2900</v>
      </c>
      <c r="CW35" s="68">
        <v>0</v>
      </c>
      <c r="CX35" s="68">
        <v>4500</v>
      </c>
      <c r="CY35" s="68">
        <v>5344</v>
      </c>
      <c r="CZ35" s="68">
        <v>3863</v>
      </c>
      <c r="DA35" s="68">
        <v>390</v>
      </c>
      <c r="DB35" s="68">
        <v>14617.8</v>
      </c>
      <c r="DC35" s="68">
        <v>936.58</v>
      </c>
    </row>
    <row r="36" spans="1:107">
      <c r="A36" s="57" t="s">
        <v>126</v>
      </c>
      <c r="B36" s="68">
        <v>949831.01</v>
      </c>
      <c r="C36" s="68">
        <v>0</v>
      </c>
      <c r="D36" s="68">
        <v>0</v>
      </c>
      <c r="E36" s="68">
        <v>0</v>
      </c>
      <c r="F36" s="68">
        <v>0</v>
      </c>
      <c r="G36" s="68">
        <v>0</v>
      </c>
      <c r="H36" s="68">
        <v>949831.01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68">
        <v>0</v>
      </c>
      <c r="AF36" s="68">
        <v>0</v>
      </c>
      <c r="AG36" s="68">
        <v>0</v>
      </c>
      <c r="AH36" s="68">
        <v>0</v>
      </c>
      <c r="AI36" s="68">
        <v>0</v>
      </c>
      <c r="AJ36" s="68">
        <v>0</v>
      </c>
      <c r="AK36" s="68">
        <v>0</v>
      </c>
      <c r="AL36" s="68">
        <v>0</v>
      </c>
      <c r="AM36" s="68">
        <v>0</v>
      </c>
      <c r="AN36" s="68">
        <v>0</v>
      </c>
      <c r="AO36" s="68">
        <v>0</v>
      </c>
      <c r="AP36" s="68">
        <v>0</v>
      </c>
      <c r="AQ36" s="68">
        <v>0</v>
      </c>
      <c r="AR36" s="68">
        <v>0</v>
      </c>
      <c r="AS36" s="68">
        <v>0</v>
      </c>
      <c r="AT36" s="68">
        <v>0</v>
      </c>
      <c r="AU36" s="68">
        <v>0</v>
      </c>
      <c r="AV36" s="68">
        <v>0</v>
      </c>
      <c r="AW36" s="68">
        <v>0</v>
      </c>
      <c r="AX36" s="68">
        <v>0</v>
      </c>
      <c r="AY36" s="68">
        <v>0</v>
      </c>
      <c r="AZ36" s="68">
        <v>0</v>
      </c>
      <c r="BA36" s="68">
        <v>0</v>
      </c>
      <c r="BB36" s="68">
        <v>0</v>
      </c>
      <c r="BC36" s="68">
        <v>0</v>
      </c>
      <c r="BD36" s="68">
        <v>0</v>
      </c>
      <c r="BE36" s="68">
        <v>0</v>
      </c>
      <c r="BF36" s="68">
        <v>0</v>
      </c>
      <c r="BG36" s="68">
        <v>0</v>
      </c>
      <c r="BH36" s="68">
        <v>0</v>
      </c>
      <c r="BI36" s="68">
        <v>0</v>
      </c>
      <c r="BJ36" s="68">
        <v>0</v>
      </c>
      <c r="BK36" s="68">
        <v>0</v>
      </c>
      <c r="BL36" s="68">
        <v>0</v>
      </c>
      <c r="BM36" s="68">
        <v>0</v>
      </c>
      <c r="BN36" s="68">
        <v>0</v>
      </c>
      <c r="BO36" s="68">
        <v>0</v>
      </c>
      <c r="BP36" s="68">
        <v>0</v>
      </c>
      <c r="BQ36" s="68">
        <v>0</v>
      </c>
      <c r="BR36" s="68">
        <v>0</v>
      </c>
      <c r="BS36" s="68">
        <v>0</v>
      </c>
      <c r="BT36" s="68">
        <v>0</v>
      </c>
      <c r="BU36" s="68">
        <v>0</v>
      </c>
      <c r="BV36" s="68">
        <v>0</v>
      </c>
      <c r="BW36" s="68">
        <v>0</v>
      </c>
      <c r="BX36" s="68">
        <v>0</v>
      </c>
      <c r="BY36" s="68">
        <v>0</v>
      </c>
      <c r="BZ36" s="68">
        <v>0</v>
      </c>
      <c r="CA36" s="68">
        <v>0</v>
      </c>
      <c r="CB36" s="68">
        <v>0</v>
      </c>
      <c r="CC36" s="68">
        <v>0</v>
      </c>
      <c r="CD36" s="68">
        <v>0</v>
      </c>
      <c r="CE36" s="68">
        <v>0</v>
      </c>
      <c r="CF36" s="68">
        <v>0</v>
      </c>
      <c r="CG36" s="68">
        <v>0</v>
      </c>
      <c r="CH36" s="68">
        <v>0</v>
      </c>
      <c r="CI36" s="68">
        <v>0</v>
      </c>
      <c r="CJ36" s="68">
        <v>0</v>
      </c>
      <c r="CK36" s="68">
        <v>0</v>
      </c>
      <c r="CL36" s="68">
        <v>0</v>
      </c>
      <c r="CM36" s="68">
        <v>0</v>
      </c>
      <c r="CN36" s="68">
        <v>0</v>
      </c>
      <c r="CO36" s="68">
        <v>0</v>
      </c>
      <c r="CP36" s="68">
        <v>0</v>
      </c>
      <c r="CQ36" s="68">
        <v>0</v>
      </c>
      <c r="CR36" s="68">
        <v>0</v>
      </c>
      <c r="CS36" s="68">
        <v>0</v>
      </c>
      <c r="CT36" s="68">
        <v>0</v>
      </c>
      <c r="CU36" s="68">
        <v>0</v>
      </c>
      <c r="CV36" s="68">
        <v>0</v>
      </c>
      <c r="CW36" s="68">
        <v>0</v>
      </c>
      <c r="CX36" s="68">
        <v>0</v>
      </c>
      <c r="CY36" s="68">
        <v>0</v>
      </c>
      <c r="CZ36" s="68">
        <v>0</v>
      </c>
      <c r="DA36" s="68">
        <v>0</v>
      </c>
      <c r="DB36" s="68">
        <v>0</v>
      </c>
      <c r="DC36" s="68">
        <v>0</v>
      </c>
    </row>
    <row r="37" spans="1:107">
      <c r="A37" s="57" t="s">
        <v>127</v>
      </c>
      <c r="B37" s="68">
        <v>1425420.06</v>
      </c>
      <c r="C37" s="68">
        <v>1126766.91</v>
      </c>
      <c r="D37" s="68">
        <v>0</v>
      </c>
      <c r="E37" s="68">
        <v>40434.23</v>
      </c>
      <c r="F37" s="68">
        <v>32334.59</v>
      </c>
      <c r="G37" s="68">
        <v>0</v>
      </c>
      <c r="H37" s="68">
        <v>0</v>
      </c>
      <c r="I37" s="68">
        <v>0</v>
      </c>
      <c r="J37" s="68">
        <v>166754.99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47169.81</v>
      </c>
      <c r="V37" s="68">
        <v>0</v>
      </c>
      <c r="W37" s="68">
        <v>0</v>
      </c>
      <c r="X37" s="68">
        <v>-8945.27</v>
      </c>
      <c r="Y37" s="68">
        <v>0</v>
      </c>
      <c r="Z37" s="68">
        <v>11959.53</v>
      </c>
      <c r="AA37" s="68">
        <v>0</v>
      </c>
      <c r="AB37" s="68">
        <v>11959.53</v>
      </c>
      <c r="AC37" s="68">
        <v>13500.91</v>
      </c>
      <c r="AD37" s="68">
        <v>11959.53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11959.53</v>
      </c>
      <c r="AK37" s="68">
        <v>16167.29</v>
      </c>
      <c r="AL37" s="68">
        <v>16167.3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54008.15</v>
      </c>
      <c r="AU37" s="68">
        <v>119926.15</v>
      </c>
      <c r="AV37" s="68">
        <v>25868</v>
      </c>
      <c r="AW37" s="68">
        <v>83015.29</v>
      </c>
      <c r="AX37" s="68">
        <v>60276</v>
      </c>
      <c r="AY37" s="68">
        <v>59066.92</v>
      </c>
      <c r="AZ37" s="68">
        <v>17838.66</v>
      </c>
      <c r="BA37" s="68">
        <v>72717</v>
      </c>
      <c r="BB37" s="68">
        <v>31182</v>
      </c>
      <c r="BC37" s="68">
        <v>28746</v>
      </c>
      <c r="BD37" s="68">
        <v>127151.9</v>
      </c>
      <c r="BE37" s="68">
        <v>39481.67</v>
      </c>
      <c r="BF37" s="68">
        <v>64440</v>
      </c>
      <c r="BG37" s="68">
        <v>7547</v>
      </c>
      <c r="BH37" s="68">
        <v>29461.68</v>
      </c>
      <c r="BI37" s="68">
        <v>6215</v>
      </c>
      <c r="BJ37" s="68">
        <v>386</v>
      </c>
      <c r="BK37" s="68">
        <v>47022</v>
      </c>
      <c r="BL37" s="68">
        <v>28745</v>
      </c>
      <c r="BM37" s="68">
        <v>1348</v>
      </c>
      <c r="BN37" s="68">
        <v>574</v>
      </c>
      <c r="BO37" s="68">
        <v>66514.5</v>
      </c>
      <c r="BP37" s="68">
        <v>1115</v>
      </c>
      <c r="BQ37" s="68">
        <v>218</v>
      </c>
      <c r="BR37" s="68">
        <v>1800.09</v>
      </c>
      <c r="BS37" s="68">
        <v>365</v>
      </c>
      <c r="BT37" s="68">
        <v>3172</v>
      </c>
      <c r="BU37" s="68">
        <v>1596</v>
      </c>
      <c r="BV37" s="68">
        <v>951</v>
      </c>
      <c r="BW37" s="68">
        <v>22309</v>
      </c>
      <c r="BX37" s="68">
        <v>163</v>
      </c>
      <c r="BY37" s="68">
        <v>30389</v>
      </c>
      <c r="BZ37" s="68">
        <v>162</v>
      </c>
      <c r="CA37" s="68">
        <v>21288.06</v>
      </c>
      <c r="CB37" s="68">
        <v>430</v>
      </c>
      <c r="CC37" s="68">
        <v>36354.6</v>
      </c>
      <c r="CD37" s="68">
        <v>30763.24</v>
      </c>
      <c r="CE37" s="68">
        <v>542</v>
      </c>
      <c r="CF37" s="68">
        <v>16</v>
      </c>
      <c r="CG37" s="68">
        <v>1928</v>
      </c>
      <c r="CH37" s="68">
        <v>103</v>
      </c>
      <c r="CI37" s="68">
        <v>111</v>
      </c>
      <c r="CJ37" s="68">
        <v>116</v>
      </c>
      <c r="CK37" s="68">
        <v>57</v>
      </c>
      <c r="CL37" s="68">
        <v>98</v>
      </c>
      <c r="CM37" s="68">
        <v>30</v>
      </c>
      <c r="CN37" s="68">
        <v>241</v>
      </c>
      <c r="CO37" s="68">
        <v>103</v>
      </c>
      <c r="CP37" s="68">
        <v>331</v>
      </c>
      <c r="CQ37" s="68">
        <v>134</v>
      </c>
      <c r="CR37" s="68">
        <v>25</v>
      </c>
      <c r="CS37" s="68">
        <v>48</v>
      </c>
      <c r="CT37" s="68">
        <v>20</v>
      </c>
      <c r="CU37" s="68">
        <v>34</v>
      </c>
      <c r="CV37" s="68">
        <v>15</v>
      </c>
      <c r="CW37" s="68">
        <v>0</v>
      </c>
      <c r="CX37" s="68">
        <v>74</v>
      </c>
      <c r="CY37" s="68">
        <v>10</v>
      </c>
      <c r="CZ37" s="68">
        <v>8</v>
      </c>
      <c r="DA37" s="68">
        <v>0</v>
      </c>
      <c r="DB37" s="68">
        <v>102</v>
      </c>
      <c r="DC37" s="68">
        <v>14</v>
      </c>
    </row>
    <row r="38" spans="1:107">
      <c r="A38" s="57" t="s">
        <v>128</v>
      </c>
      <c r="B38" s="68">
        <v>107632.81</v>
      </c>
      <c r="C38" s="68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106347.81</v>
      </c>
      <c r="J38" s="68">
        <v>0</v>
      </c>
      <c r="K38" s="68">
        <v>0</v>
      </c>
      <c r="L38" s="68">
        <v>0</v>
      </c>
      <c r="M38" s="68">
        <v>1285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68">
        <v>0</v>
      </c>
      <c r="AD38" s="68">
        <v>0</v>
      </c>
      <c r="AE38" s="68">
        <v>0</v>
      </c>
      <c r="AF38" s="68">
        <v>0</v>
      </c>
      <c r="AG38" s="68">
        <v>0</v>
      </c>
      <c r="AH38" s="68">
        <v>0</v>
      </c>
      <c r="AI38" s="68">
        <v>0</v>
      </c>
      <c r="AJ38" s="68">
        <v>0</v>
      </c>
      <c r="AK38" s="68">
        <v>0</v>
      </c>
      <c r="AL38" s="68">
        <v>0</v>
      </c>
      <c r="AM38" s="68">
        <v>0</v>
      </c>
      <c r="AN38" s="68">
        <v>0</v>
      </c>
      <c r="AO38" s="68">
        <v>0</v>
      </c>
      <c r="AP38" s="68">
        <v>0</v>
      </c>
      <c r="AQ38" s="68">
        <v>0</v>
      </c>
      <c r="AR38" s="68">
        <v>0</v>
      </c>
      <c r="AS38" s="68">
        <v>0</v>
      </c>
      <c r="AT38" s="68">
        <v>0</v>
      </c>
      <c r="AU38" s="68">
        <v>0</v>
      </c>
      <c r="AV38" s="68">
        <v>0</v>
      </c>
      <c r="AW38" s="68">
        <v>0</v>
      </c>
      <c r="AX38" s="68">
        <v>0</v>
      </c>
      <c r="AY38" s="68">
        <v>0</v>
      </c>
      <c r="AZ38" s="68">
        <v>0</v>
      </c>
      <c r="BA38" s="68">
        <v>0</v>
      </c>
      <c r="BB38" s="68">
        <v>0</v>
      </c>
      <c r="BC38" s="68">
        <v>0</v>
      </c>
      <c r="BD38" s="68">
        <v>0</v>
      </c>
      <c r="BE38" s="68">
        <v>0</v>
      </c>
      <c r="BF38" s="68">
        <v>0</v>
      </c>
      <c r="BG38" s="68">
        <v>0</v>
      </c>
      <c r="BH38" s="68">
        <v>0</v>
      </c>
      <c r="BI38" s="68">
        <v>0</v>
      </c>
      <c r="BJ38" s="68">
        <v>0</v>
      </c>
      <c r="BK38" s="68">
        <v>0</v>
      </c>
      <c r="BL38" s="68">
        <v>0</v>
      </c>
      <c r="BM38" s="68">
        <v>0</v>
      </c>
      <c r="BN38" s="68">
        <v>0</v>
      </c>
      <c r="BO38" s="68">
        <v>0</v>
      </c>
      <c r="BP38" s="68">
        <v>0</v>
      </c>
      <c r="BQ38" s="68">
        <v>0</v>
      </c>
      <c r="BR38" s="68">
        <v>0</v>
      </c>
      <c r="BS38" s="68">
        <v>0</v>
      </c>
      <c r="BT38" s="68">
        <v>0</v>
      </c>
      <c r="BU38" s="68">
        <v>0</v>
      </c>
      <c r="BV38" s="68">
        <v>0</v>
      </c>
      <c r="BW38" s="68">
        <v>0</v>
      </c>
      <c r="BX38" s="68">
        <v>0</v>
      </c>
      <c r="BY38" s="68">
        <v>0</v>
      </c>
      <c r="BZ38" s="68">
        <v>0</v>
      </c>
      <c r="CA38" s="68">
        <v>0</v>
      </c>
      <c r="CB38" s="68">
        <v>0</v>
      </c>
      <c r="CC38" s="68">
        <v>0</v>
      </c>
      <c r="CD38" s="68">
        <v>0</v>
      </c>
      <c r="CE38" s="68">
        <v>0</v>
      </c>
      <c r="CF38" s="68">
        <v>0</v>
      </c>
      <c r="CG38" s="68">
        <v>0</v>
      </c>
      <c r="CH38" s="68">
        <v>0</v>
      </c>
      <c r="CI38" s="68">
        <v>0</v>
      </c>
      <c r="CJ38" s="68">
        <v>0</v>
      </c>
      <c r="CK38" s="68">
        <v>0</v>
      </c>
      <c r="CL38" s="68">
        <v>0</v>
      </c>
      <c r="CM38" s="68">
        <v>0</v>
      </c>
      <c r="CN38" s="68">
        <v>0</v>
      </c>
      <c r="CO38" s="68">
        <v>0</v>
      </c>
      <c r="CP38" s="68">
        <v>0</v>
      </c>
      <c r="CQ38" s="68">
        <v>0</v>
      </c>
      <c r="CR38" s="68">
        <v>0</v>
      </c>
      <c r="CS38" s="68">
        <v>0</v>
      </c>
      <c r="CT38" s="68">
        <v>0</v>
      </c>
      <c r="CU38" s="68">
        <v>0</v>
      </c>
      <c r="CV38" s="68">
        <v>0</v>
      </c>
      <c r="CW38" s="68">
        <v>0</v>
      </c>
      <c r="CX38" s="68">
        <v>0</v>
      </c>
      <c r="CY38" s="68">
        <v>0</v>
      </c>
      <c r="CZ38" s="68">
        <v>0</v>
      </c>
      <c r="DA38" s="68">
        <v>0</v>
      </c>
      <c r="DB38" s="68">
        <v>0</v>
      </c>
      <c r="DC38" s="68">
        <v>0</v>
      </c>
    </row>
    <row r="39" spans="1:107">
      <c r="A39" s="57" t="s">
        <v>129</v>
      </c>
      <c r="B39" s="68">
        <v>417941.67</v>
      </c>
      <c r="C39" s="68">
        <v>227797.72</v>
      </c>
      <c r="D39" s="68">
        <v>41092</v>
      </c>
      <c r="E39" s="68">
        <v>15178</v>
      </c>
      <c r="F39" s="68">
        <v>300</v>
      </c>
      <c r="G39" s="68">
        <v>0</v>
      </c>
      <c r="H39" s="68">
        <v>0</v>
      </c>
      <c r="I39" s="68">
        <v>0</v>
      </c>
      <c r="J39" s="68">
        <v>133573.95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2618</v>
      </c>
      <c r="Y39" s="68">
        <v>0</v>
      </c>
      <c r="Z39" s="68">
        <v>3140</v>
      </c>
      <c r="AA39" s="68">
        <v>0</v>
      </c>
      <c r="AB39" s="68">
        <v>3140</v>
      </c>
      <c r="AC39" s="68">
        <v>3140</v>
      </c>
      <c r="AD39" s="68">
        <v>3140</v>
      </c>
      <c r="AE39" s="68">
        <v>0</v>
      </c>
      <c r="AF39" s="68">
        <v>38610</v>
      </c>
      <c r="AG39" s="68">
        <v>1241</v>
      </c>
      <c r="AH39" s="68">
        <v>1241</v>
      </c>
      <c r="AI39" s="68">
        <v>0</v>
      </c>
      <c r="AJ39" s="68">
        <v>0</v>
      </c>
      <c r="AK39" s="68">
        <v>0</v>
      </c>
      <c r="AL39" s="68">
        <v>300</v>
      </c>
      <c r="AM39" s="68">
        <v>0</v>
      </c>
      <c r="AN39" s="68">
        <v>0</v>
      </c>
      <c r="AO39" s="68">
        <v>0</v>
      </c>
      <c r="AP39" s="68">
        <v>0</v>
      </c>
      <c r="AQ39" s="68">
        <v>5400</v>
      </c>
      <c r="AR39" s="68">
        <v>0</v>
      </c>
      <c r="AS39" s="68">
        <v>0</v>
      </c>
      <c r="AT39" s="68">
        <v>31697.09</v>
      </c>
      <c r="AU39" s="68">
        <v>14239</v>
      </c>
      <c r="AV39" s="68">
        <v>0</v>
      </c>
      <c r="AW39" s="68">
        <v>18607.95</v>
      </c>
      <c r="AX39" s="68">
        <v>21617.65</v>
      </c>
      <c r="AY39" s="68">
        <v>11374</v>
      </c>
      <c r="AZ39" s="68">
        <v>4500</v>
      </c>
      <c r="BA39" s="68">
        <v>3930</v>
      </c>
      <c r="BB39" s="68">
        <v>1600</v>
      </c>
      <c r="BC39" s="68">
        <v>0</v>
      </c>
      <c r="BD39" s="68">
        <v>30939</v>
      </c>
      <c r="BE39" s="68">
        <v>23793.85</v>
      </c>
      <c r="BF39" s="68">
        <v>3557</v>
      </c>
      <c r="BG39" s="68">
        <v>0</v>
      </c>
      <c r="BH39" s="68">
        <v>7400</v>
      </c>
      <c r="BI39" s="68">
        <v>0</v>
      </c>
      <c r="BJ39" s="68">
        <v>1200</v>
      </c>
      <c r="BK39" s="68">
        <v>3645</v>
      </c>
      <c r="BL39" s="68">
        <v>1850</v>
      </c>
      <c r="BM39" s="68">
        <v>0</v>
      </c>
      <c r="BN39" s="68">
        <v>0</v>
      </c>
      <c r="BO39" s="68">
        <v>0</v>
      </c>
      <c r="BP39" s="68">
        <v>800</v>
      </c>
      <c r="BQ39" s="68">
        <v>0</v>
      </c>
      <c r="BR39" s="68">
        <v>754.72</v>
      </c>
      <c r="BS39" s="68">
        <v>0</v>
      </c>
      <c r="BT39" s="68">
        <v>0</v>
      </c>
      <c r="BU39" s="68">
        <v>0</v>
      </c>
      <c r="BV39" s="68">
        <v>0</v>
      </c>
      <c r="BW39" s="68">
        <v>7664</v>
      </c>
      <c r="BX39" s="68">
        <v>1500</v>
      </c>
      <c r="BY39" s="68">
        <v>5998</v>
      </c>
      <c r="BZ39" s="68">
        <v>0</v>
      </c>
      <c r="CA39" s="68">
        <v>0</v>
      </c>
      <c r="CB39" s="68">
        <v>0</v>
      </c>
      <c r="CC39" s="68">
        <v>0</v>
      </c>
      <c r="CD39" s="68">
        <v>0</v>
      </c>
      <c r="CE39" s="68">
        <v>0</v>
      </c>
      <c r="CF39" s="68">
        <v>0</v>
      </c>
      <c r="CG39" s="68">
        <v>0</v>
      </c>
      <c r="CH39" s="68">
        <v>0</v>
      </c>
      <c r="CI39" s="68">
        <v>0</v>
      </c>
      <c r="CJ39" s="68">
        <v>0</v>
      </c>
      <c r="CK39" s="68">
        <v>0</v>
      </c>
      <c r="CL39" s="68">
        <v>3300</v>
      </c>
      <c r="CM39" s="68">
        <v>0</v>
      </c>
      <c r="CN39" s="68">
        <v>0</v>
      </c>
      <c r="CO39" s="68">
        <v>0</v>
      </c>
      <c r="CP39" s="68">
        <v>0</v>
      </c>
      <c r="CQ39" s="68">
        <v>300</v>
      </c>
      <c r="CR39" s="68">
        <v>0</v>
      </c>
      <c r="CS39" s="68">
        <v>1029.46</v>
      </c>
      <c r="CT39" s="68">
        <v>0</v>
      </c>
      <c r="CU39" s="68">
        <v>0</v>
      </c>
      <c r="CV39" s="68">
        <v>5500</v>
      </c>
      <c r="CW39" s="68">
        <v>0</v>
      </c>
      <c r="CX39" s="68">
        <v>0</v>
      </c>
      <c r="CY39" s="68">
        <v>5075</v>
      </c>
      <c r="CZ39" s="68">
        <v>10526</v>
      </c>
      <c r="DA39" s="68">
        <v>0</v>
      </c>
      <c r="DB39" s="68">
        <v>0</v>
      </c>
      <c r="DC39" s="68">
        <v>0</v>
      </c>
    </row>
    <row r="40" spans="1:107">
      <c r="A40" s="57" t="s">
        <v>130</v>
      </c>
      <c r="B40" s="68">
        <v>1804347</v>
      </c>
      <c r="C40" s="68">
        <v>202130</v>
      </c>
      <c r="D40" s="68">
        <v>0</v>
      </c>
      <c r="E40" s="68">
        <v>0</v>
      </c>
      <c r="F40" s="68">
        <v>5000</v>
      </c>
      <c r="G40" s="68">
        <v>0</v>
      </c>
      <c r="H40" s="68">
        <v>1597217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68">
        <v>0</v>
      </c>
      <c r="AD40" s="68">
        <v>0</v>
      </c>
      <c r="AE40" s="68">
        <v>0</v>
      </c>
      <c r="AF40" s="68">
        <v>0</v>
      </c>
      <c r="AG40" s="68">
        <v>0</v>
      </c>
      <c r="AH40" s="68">
        <v>0</v>
      </c>
      <c r="AI40" s="68">
        <v>0</v>
      </c>
      <c r="AJ40" s="68">
        <v>0</v>
      </c>
      <c r="AK40" s="68">
        <v>0</v>
      </c>
      <c r="AL40" s="68">
        <v>5000</v>
      </c>
      <c r="AM40" s="68">
        <v>0</v>
      </c>
      <c r="AN40" s="68">
        <v>0</v>
      </c>
      <c r="AO40" s="68">
        <v>0</v>
      </c>
      <c r="AP40" s="68">
        <v>0</v>
      </c>
      <c r="AQ40" s="68">
        <v>0</v>
      </c>
      <c r="AR40" s="68">
        <v>0</v>
      </c>
      <c r="AS40" s="68">
        <v>0</v>
      </c>
      <c r="AT40" s="68">
        <v>0</v>
      </c>
      <c r="AU40" s="68">
        <v>0</v>
      </c>
      <c r="AV40" s="68">
        <v>0</v>
      </c>
      <c r="AW40" s="68">
        <v>0</v>
      </c>
      <c r="AX40" s="68">
        <v>0</v>
      </c>
      <c r="AY40" s="68">
        <v>0</v>
      </c>
      <c r="AZ40" s="68">
        <v>0</v>
      </c>
      <c r="BA40" s="68">
        <v>0</v>
      </c>
      <c r="BB40" s="68">
        <v>8000</v>
      </c>
      <c r="BC40" s="68">
        <v>0</v>
      </c>
      <c r="BD40" s="68">
        <v>30000</v>
      </c>
      <c r="BE40" s="68">
        <v>22130</v>
      </c>
      <c r="BF40" s="68">
        <v>8000</v>
      </c>
      <c r="BG40" s="68">
        <v>8000</v>
      </c>
      <c r="BH40" s="68">
        <v>0</v>
      </c>
      <c r="BI40" s="68">
        <v>0</v>
      </c>
      <c r="BJ40" s="68">
        <v>0</v>
      </c>
      <c r="BK40" s="68">
        <v>0</v>
      </c>
      <c r="BL40" s="68">
        <v>0</v>
      </c>
      <c r="BM40" s="68">
        <v>0</v>
      </c>
      <c r="BN40" s="68">
        <v>0</v>
      </c>
      <c r="BO40" s="68">
        <v>0</v>
      </c>
      <c r="BP40" s="68">
        <v>0</v>
      </c>
      <c r="BQ40" s="68">
        <v>0</v>
      </c>
      <c r="BR40" s="68">
        <v>3000</v>
      </c>
      <c r="BS40" s="68">
        <v>0</v>
      </c>
      <c r="BT40" s="68">
        <v>0</v>
      </c>
      <c r="BU40" s="68">
        <v>0</v>
      </c>
      <c r="BV40" s="68">
        <v>0</v>
      </c>
      <c r="BW40" s="68">
        <v>0</v>
      </c>
      <c r="BX40" s="68">
        <v>0</v>
      </c>
      <c r="BY40" s="68">
        <v>0</v>
      </c>
      <c r="BZ40" s="68">
        <v>0</v>
      </c>
      <c r="CA40" s="68">
        <v>0</v>
      </c>
      <c r="CB40" s="68">
        <v>0</v>
      </c>
      <c r="CC40" s="68">
        <v>5000</v>
      </c>
      <c r="CD40" s="68">
        <v>5000</v>
      </c>
      <c r="CE40" s="68">
        <v>0</v>
      </c>
      <c r="CF40" s="68">
        <v>0</v>
      </c>
      <c r="CG40" s="68">
        <v>18000</v>
      </c>
      <c r="CH40" s="68">
        <v>30000</v>
      </c>
      <c r="CI40" s="68">
        <v>0</v>
      </c>
      <c r="CJ40" s="68">
        <v>0</v>
      </c>
      <c r="CK40" s="68">
        <v>0</v>
      </c>
      <c r="CL40" s="68">
        <v>0</v>
      </c>
      <c r="CM40" s="68">
        <v>20000</v>
      </c>
      <c r="CN40" s="68">
        <v>0</v>
      </c>
      <c r="CO40" s="68">
        <v>0</v>
      </c>
      <c r="CP40" s="68">
        <v>10000</v>
      </c>
      <c r="CQ40" s="68">
        <v>0</v>
      </c>
      <c r="CR40" s="68">
        <v>0</v>
      </c>
      <c r="CS40" s="68">
        <v>15000</v>
      </c>
      <c r="CT40" s="68">
        <v>0</v>
      </c>
      <c r="CU40" s="68">
        <v>0</v>
      </c>
      <c r="CV40" s="68">
        <v>0</v>
      </c>
      <c r="CW40" s="68">
        <v>0</v>
      </c>
      <c r="CX40" s="68">
        <v>20000</v>
      </c>
      <c r="CY40" s="68">
        <v>0</v>
      </c>
      <c r="CZ40" s="68">
        <v>0</v>
      </c>
      <c r="DA40" s="68">
        <v>0</v>
      </c>
      <c r="DB40" s="68">
        <v>0</v>
      </c>
      <c r="DC40" s="68">
        <v>0</v>
      </c>
    </row>
    <row r="41" spans="1:107">
      <c r="A41" s="57" t="s">
        <v>131</v>
      </c>
      <c r="B41" s="68">
        <v>252296.01</v>
      </c>
      <c r="C41" s="68">
        <v>0</v>
      </c>
      <c r="D41" s="68">
        <v>67169.8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35126.21</v>
      </c>
      <c r="N41" s="68">
        <v>0</v>
      </c>
      <c r="O41" s="68">
        <v>0</v>
      </c>
      <c r="P41" s="68">
        <v>150000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0</v>
      </c>
      <c r="AD41" s="68">
        <v>0</v>
      </c>
      <c r="AE41" s="68">
        <v>0</v>
      </c>
      <c r="AF41" s="68">
        <v>0</v>
      </c>
      <c r="AG41" s="68">
        <v>38867.92</v>
      </c>
      <c r="AH41" s="68">
        <v>28301.88</v>
      </c>
      <c r="AI41" s="68">
        <v>0</v>
      </c>
      <c r="AJ41" s="68">
        <v>0</v>
      </c>
      <c r="AK41" s="68">
        <v>0</v>
      </c>
      <c r="AL41" s="68">
        <v>0</v>
      </c>
      <c r="AM41" s="68">
        <v>0</v>
      </c>
      <c r="AN41" s="68">
        <v>0</v>
      </c>
      <c r="AO41" s="68">
        <v>0</v>
      </c>
      <c r="AP41" s="68">
        <v>0</v>
      </c>
      <c r="AQ41" s="68">
        <v>0</v>
      </c>
      <c r="AR41" s="68">
        <v>0</v>
      </c>
      <c r="AS41" s="68">
        <v>0</v>
      </c>
      <c r="AT41" s="68">
        <v>0</v>
      </c>
      <c r="AU41" s="68">
        <v>0</v>
      </c>
      <c r="AV41" s="68">
        <v>0</v>
      </c>
      <c r="AW41" s="68">
        <v>0</v>
      </c>
      <c r="AX41" s="68">
        <v>0</v>
      </c>
      <c r="AY41" s="68">
        <v>0</v>
      </c>
      <c r="AZ41" s="68">
        <v>0</v>
      </c>
      <c r="BA41" s="68">
        <v>0</v>
      </c>
      <c r="BB41" s="68">
        <v>0</v>
      </c>
      <c r="BC41" s="68">
        <v>0</v>
      </c>
      <c r="BD41" s="68">
        <v>0</v>
      </c>
      <c r="BE41" s="68">
        <v>0</v>
      </c>
      <c r="BF41" s="68">
        <v>0</v>
      </c>
      <c r="BG41" s="68">
        <v>0</v>
      </c>
      <c r="BH41" s="68">
        <v>0</v>
      </c>
      <c r="BI41" s="68">
        <v>0</v>
      </c>
      <c r="BJ41" s="68">
        <v>0</v>
      </c>
      <c r="BK41" s="68">
        <v>0</v>
      </c>
      <c r="BL41" s="68">
        <v>0</v>
      </c>
      <c r="BM41" s="68">
        <v>0</v>
      </c>
      <c r="BN41" s="68">
        <v>0</v>
      </c>
      <c r="BO41" s="68">
        <v>0</v>
      </c>
      <c r="BP41" s="68">
        <v>0</v>
      </c>
      <c r="BQ41" s="68">
        <v>0</v>
      </c>
      <c r="BR41" s="68">
        <v>0</v>
      </c>
      <c r="BS41" s="68">
        <v>0</v>
      </c>
      <c r="BT41" s="68">
        <v>0</v>
      </c>
      <c r="BU41" s="68">
        <v>0</v>
      </c>
      <c r="BV41" s="68">
        <v>0</v>
      </c>
      <c r="BW41" s="68">
        <v>0</v>
      </c>
      <c r="BX41" s="68">
        <v>0</v>
      </c>
      <c r="BY41" s="68">
        <v>0</v>
      </c>
      <c r="BZ41" s="68">
        <v>0</v>
      </c>
      <c r="CA41" s="68">
        <v>0</v>
      </c>
      <c r="CB41" s="68">
        <v>0</v>
      </c>
      <c r="CC41" s="68">
        <v>0</v>
      </c>
      <c r="CD41" s="68">
        <v>0</v>
      </c>
      <c r="CE41" s="68">
        <v>0</v>
      </c>
      <c r="CF41" s="68">
        <v>0</v>
      </c>
      <c r="CG41" s="68">
        <v>0</v>
      </c>
      <c r="CH41" s="68">
        <v>0</v>
      </c>
      <c r="CI41" s="68">
        <v>0</v>
      </c>
      <c r="CJ41" s="68">
        <v>0</v>
      </c>
      <c r="CK41" s="68">
        <v>0</v>
      </c>
      <c r="CL41" s="68">
        <v>0</v>
      </c>
      <c r="CM41" s="68">
        <v>0</v>
      </c>
      <c r="CN41" s="68">
        <v>0</v>
      </c>
      <c r="CO41" s="68">
        <v>0</v>
      </c>
      <c r="CP41" s="68">
        <v>0</v>
      </c>
      <c r="CQ41" s="68">
        <v>0</v>
      </c>
      <c r="CR41" s="68">
        <v>0</v>
      </c>
      <c r="CS41" s="68">
        <v>0</v>
      </c>
      <c r="CT41" s="68">
        <v>0</v>
      </c>
      <c r="CU41" s="68">
        <v>0</v>
      </c>
      <c r="CV41" s="68">
        <v>0</v>
      </c>
      <c r="CW41" s="68">
        <v>0</v>
      </c>
      <c r="CX41" s="68">
        <v>0</v>
      </c>
      <c r="CY41" s="68">
        <v>0</v>
      </c>
      <c r="CZ41" s="68">
        <v>0</v>
      </c>
      <c r="DA41" s="68">
        <v>0</v>
      </c>
      <c r="DB41" s="68">
        <v>0</v>
      </c>
      <c r="DC41" s="68">
        <v>0</v>
      </c>
    </row>
    <row r="42" spans="1:107">
      <c r="A42" s="57" t="s">
        <v>132</v>
      </c>
      <c r="B42" s="68">
        <v>350</v>
      </c>
      <c r="C42" s="68">
        <v>-1050</v>
      </c>
      <c r="D42" s="68">
        <v>0</v>
      </c>
      <c r="E42" s="68">
        <v>1400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  <c r="Y42" s="68">
        <v>0</v>
      </c>
      <c r="Z42" s="68">
        <v>1400</v>
      </c>
      <c r="AA42" s="68">
        <v>0</v>
      </c>
      <c r="AB42" s="68">
        <v>0</v>
      </c>
      <c r="AC42" s="68">
        <v>0</v>
      </c>
      <c r="AD42" s="68">
        <v>0</v>
      </c>
      <c r="AE42" s="68">
        <v>0</v>
      </c>
      <c r="AF42" s="68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0</v>
      </c>
      <c r="AL42" s="68">
        <v>0</v>
      </c>
      <c r="AM42" s="68">
        <v>0</v>
      </c>
      <c r="AN42" s="68">
        <v>0</v>
      </c>
      <c r="AO42" s="68">
        <v>0</v>
      </c>
      <c r="AP42" s="68">
        <v>0</v>
      </c>
      <c r="AQ42" s="68">
        <v>0</v>
      </c>
      <c r="AR42" s="68">
        <v>0</v>
      </c>
      <c r="AS42" s="68">
        <v>0</v>
      </c>
      <c r="AT42" s="68">
        <v>0</v>
      </c>
      <c r="AU42" s="68">
        <v>0</v>
      </c>
      <c r="AV42" s="68">
        <v>0</v>
      </c>
      <c r="AW42" s="68">
        <v>0</v>
      </c>
      <c r="AX42" s="68">
        <v>0</v>
      </c>
      <c r="AY42" s="68">
        <v>0</v>
      </c>
      <c r="AZ42" s="68">
        <v>0</v>
      </c>
      <c r="BA42" s="68">
        <v>0</v>
      </c>
      <c r="BB42" s="68">
        <v>0</v>
      </c>
      <c r="BC42" s="68">
        <v>0</v>
      </c>
      <c r="BD42" s="68">
        <v>0</v>
      </c>
      <c r="BE42" s="68">
        <v>0</v>
      </c>
      <c r="BF42" s="68">
        <v>0</v>
      </c>
      <c r="BG42" s="68">
        <v>0</v>
      </c>
      <c r="BH42" s="68">
        <v>0</v>
      </c>
      <c r="BI42" s="68">
        <v>0</v>
      </c>
      <c r="BJ42" s="68">
        <v>0</v>
      </c>
      <c r="BK42" s="68">
        <v>0</v>
      </c>
      <c r="BL42" s="68">
        <v>0</v>
      </c>
      <c r="BM42" s="68">
        <v>0</v>
      </c>
      <c r="BN42" s="68">
        <v>0</v>
      </c>
      <c r="BO42" s="68">
        <v>0</v>
      </c>
      <c r="BP42" s="68">
        <v>0</v>
      </c>
      <c r="BQ42" s="68">
        <v>0</v>
      </c>
      <c r="BR42" s="68">
        <v>0</v>
      </c>
      <c r="BS42" s="68">
        <v>0</v>
      </c>
      <c r="BT42" s="68">
        <v>0</v>
      </c>
      <c r="BU42" s="68">
        <v>0</v>
      </c>
      <c r="BV42" s="68">
        <v>0</v>
      </c>
      <c r="BW42" s="68">
        <v>0</v>
      </c>
      <c r="BX42" s="68">
        <v>0</v>
      </c>
      <c r="BY42" s="68">
        <v>0</v>
      </c>
      <c r="BZ42" s="68">
        <v>0</v>
      </c>
      <c r="CA42" s="68">
        <v>0</v>
      </c>
      <c r="CB42" s="68">
        <v>0</v>
      </c>
      <c r="CC42" s="68">
        <v>0</v>
      </c>
      <c r="CD42" s="68">
        <v>-1050</v>
      </c>
      <c r="CE42" s="68">
        <v>0</v>
      </c>
      <c r="CF42" s="68">
        <v>0</v>
      </c>
      <c r="CG42" s="68">
        <v>0</v>
      </c>
      <c r="CH42" s="68">
        <v>0</v>
      </c>
      <c r="CI42" s="68">
        <v>0</v>
      </c>
      <c r="CJ42" s="68">
        <v>0</v>
      </c>
      <c r="CK42" s="68">
        <v>0</v>
      </c>
      <c r="CL42" s="68">
        <v>0</v>
      </c>
      <c r="CM42" s="68">
        <v>0</v>
      </c>
      <c r="CN42" s="68">
        <v>0</v>
      </c>
      <c r="CO42" s="68">
        <v>0</v>
      </c>
      <c r="CP42" s="68">
        <v>0</v>
      </c>
      <c r="CQ42" s="68">
        <v>0</v>
      </c>
      <c r="CR42" s="68">
        <v>0</v>
      </c>
      <c r="CS42" s="68">
        <v>0</v>
      </c>
      <c r="CT42" s="68">
        <v>0</v>
      </c>
      <c r="CU42" s="68">
        <v>0</v>
      </c>
      <c r="CV42" s="68">
        <v>0</v>
      </c>
      <c r="CW42" s="68">
        <v>0</v>
      </c>
      <c r="CX42" s="68">
        <v>0</v>
      </c>
      <c r="CY42" s="68">
        <v>0</v>
      </c>
      <c r="CZ42" s="68">
        <v>0</v>
      </c>
      <c r="DA42" s="68">
        <v>0</v>
      </c>
      <c r="DB42" s="68">
        <v>0</v>
      </c>
      <c r="DC42" s="68">
        <v>0</v>
      </c>
    </row>
    <row r="43" spans="1:107">
      <c r="A43" s="57" t="s">
        <v>133</v>
      </c>
      <c r="B43" s="68">
        <v>4084761.18</v>
      </c>
      <c r="C43" s="68">
        <v>3359972.73</v>
      </c>
      <c r="D43" s="68">
        <v>0</v>
      </c>
      <c r="E43" s="68">
        <v>195227.25</v>
      </c>
      <c r="F43" s="68">
        <v>122994.53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406566.67</v>
      </c>
      <c r="V43" s="68">
        <v>0</v>
      </c>
      <c r="W43" s="68">
        <v>0</v>
      </c>
      <c r="X43" s="68">
        <v>0</v>
      </c>
      <c r="Y43" s="68">
        <v>0</v>
      </c>
      <c r="Z43" s="68">
        <v>11008</v>
      </c>
      <c r="AA43" s="68">
        <v>0</v>
      </c>
      <c r="AB43" s="68">
        <v>34400</v>
      </c>
      <c r="AC43" s="68">
        <v>68904</v>
      </c>
      <c r="AD43" s="68">
        <v>80915.25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122994.53</v>
      </c>
      <c r="AL43" s="68">
        <v>0</v>
      </c>
      <c r="AM43" s="68">
        <v>0</v>
      </c>
      <c r="AN43" s="68">
        <v>0</v>
      </c>
      <c r="AO43" s="68">
        <v>219000</v>
      </c>
      <c r="AP43" s="68">
        <v>0</v>
      </c>
      <c r="AQ43" s="68">
        <v>0</v>
      </c>
      <c r="AR43" s="68">
        <v>0</v>
      </c>
      <c r="AS43" s="68">
        <v>3371.67</v>
      </c>
      <c r="AT43" s="68">
        <v>128628.27</v>
      </c>
      <c r="AU43" s="68">
        <v>168826.14</v>
      </c>
      <c r="AV43" s="68">
        <v>215657.66</v>
      </c>
      <c r="AW43" s="68">
        <v>103975.24</v>
      </c>
      <c r="AX43" s="68">
        <v>163599.44</v>
      </c>
      <c r="AY43" s="68">
        <v>154767.8</v>
      </c>
      <c r="AZ43" s="68">
        <v>88770.16</v>
      </c>
      <c r="BA43" s="68">
        <v>201762.94</v>
      </c>
      <c r="BB43" s="68">
        <v>139409.54</v>
      </c>
      <c r="BC43" s="68">
        <v>93420.44</v>
      </c>
      <c r="BD43" s="68">
        <v>223791.28</v>
      </c>
      <c r="BE43" s="68">
        <v>155204.28</v>
      </c>
      <c r="BF43" s="68">
        <v>112036.72</v>
      </c>
      <c r="BG43" s="68">
        <v>99752.18</v>
      </c>
      <c r="BH43" s="68">
        <v>94964.46</v>
      </c>
      <c r="BI43" s="68">
        <v>60784.44</v>
      </c>
      <c r="BJ43" s="68">
        <v>100043.66</v>
      </c>
      <c r="BK43" s="68">
        <v>76355.14</v>
      </c>
      <c r="BL43" s="68">
        <v>90299.82</v>
      </c>
      <c r="BM43" s="68">
        <v>41559.44</v>
      </c>
      <c r="BN43" s="68">
        <v>48442.46</v>
      </c>
      <c r="BO43" s="68">
        <v>104229.41</v>
      </c>
      <c r="BP43" s="68">
        <v>11419.46</v>
      </c>
      <c r="BQ43" s="68">
        <v>20704</v>
      </c>
      <c r="BR43" s="68">
        <v>8803</v>
      </c>
      <c r="BS43" s="68">
        <v>24046</v>
      </c>
      <c r="BT43" s="68">
        <v>8086</v>
      </c>
      <c r="BU43" s="68">
        <v>16042</v>
      </c>
      <c r="BV43" s="68">
        <v>26205</v>
      </c>
      <c r="BW43" s="68">
        <v>9143</v>
      </c>
      <c r="BX43" s="68">
        <v>5479</v>
      </c>
      <c r="BY43" s="68">
        <v>11854</v>
      </c>
      <c r="BZ43" s="68">
        <v>3713</v>
      </c>
      <c r="CA43" s="68">
        <v>4560</v>
      </c>
      <c r="CB43" s="68">
        <v>11721</v>
      </c>
      <c r="CC43" s="68">
        <v>74911.9</v>
      </c>
      <c r="CD43" s="68">
        <v>151638</v>
      </c>
      <c r="CE43" s="68">
        <v>9066.76</v>
      </c>
      <c r="CF43" s="68">
        <v>0</v>
      </c>
      <c r="CG43" s="68">
        <v>1084</v>
      </c>
      <c r="CH43" s="68">
        <v>7276</v>
      </c>
      <c r="CI43" s="68">
        <v>0</v>
      </c>
      <c r="CJ43" s="68">
        <v>417</v>
      </c>
      <c r="CK43" s="68">
        <v>107.4</v>
      </c>
      <c r="CL43" s="68">
        <v>6000</v>
      </c>
      <c r="CM43" s="68">
        <v>8707</v>
      </c>
      <c r="CN43" s="68">
        <v>6069</v>
      </c>
      <c r="CO43" s="68">
        <v>0</v>
      </c>
      <c r="CP43" s="68">
        <v>591</v>
      </c>
      <c r="CQ43" s="68">
        <v>4415</v>
      </c>
      <c r="CR43" s="68">
        <v>0</v>
      </c>
      <c r="CS43" s="68">
        <v>2021.53</v>
      </c>
      <c r="CT43" s="68">
        <v>4360</v>
      </c>
      <c r="CU43" s="68">
        <v>217.98</v>
      </c>
      <c r="CV43" s="68">
        <v>0</v>
      </c>
      <c r="CW43" s="68">
        <v>0</v>
      </c>
      <c r="CX43" s="68">
        <v>0</v>
      </c>
      <c r="CY43" s="68">
        <v>0</v>
      </c>
      <c r="CZ43" s="68">
        <v>0</v>
      </c>
      <c r="DA43" s="68">
        <v>0</v>
      </c>
      <c r="DB43" s="68">
        <v>11662.11</v>
      </c>
      <c r="DC43" s="68">
        <v>21000</v>
      </c>
    </row>
    <row r="44" spans="1:107">
      <c r="A44" s="57" t="s">
        <v>134</v>
      </c>
      <c r="B44" s="68">
        <v>1680583.9</v>
      </c>
      <c r="C44" s="68">
        <v>756491.33</v>
      </c>
      <c r="D44" s="68">
        <v>3533.97</v>
      </c>
      <c r="E44" s="68">
        <v>302704.14</v>
      </c>
      <c r="F44" s="68">
        <v>5953.02</v>
      </c>
      <c r="G44" s="68">
        <v>0</v>
      </c>
      <c r="H44" s="68">
        <v>0</v>
      </c>
      <c r="I44" s="68">
        <v>0</v>
      </c>
      <c r="J44" s="68">
        <v>0</v>
      </c>
      <c r="K44" s="68">
        <v>49505.2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8">
        <v>0</v>
      </c>
      <c r="S44" s="68">
        <v>33679.26</v>
      </c>
      <c r="T44" s="68">
        <v>0</v>
      </c>
      <c r="U44" s="68">
        <v>528716.98</v>
      </c>
      <c r="V44" s="68">
        <v>0</v>
      </c>
      <c r="W44" s="68">
        <v>0</v>
      </c>
      <c r="X44" s="68">
        <v>0</v>
      </c>
      <c r="Y44" s="68">
        <v>0</v>
      </c>
      <c r="Z44" s="68">
        <v>76360</v>
      </c>
      <c r="AA44" s="68">
        <v>0</v>
      </c>
      <c r="AB44" s="68">
        <v>2303.4</v>
      </c>
      <c r="AC44" s="68">
        <v>112020.37</v>
      </c>
      <c r="AD44" s="68">
        <v>112020.37</v>
      </c>
      <c r="AE44" s="68">
        <v>0</v>
      </c>
      <c r="AF44" s="68">
        <v>0</v>
      </c>
      <c r="AG44" s="68">
        <v>1600</v>
      </c>
      <c r="AH44" s="68">
        <v>0</v>
      </c>
      <c r="AI44" s="68">
        <v>1933.97</v>
      </c>
      <c r="AJ44" s="68">
        <v>0</v>
      </c>
      <c r="AK44" s="68">
        <v>3373.02</v>
      </c>
      <c r="AL44" s="68">
        <v>2580</v>
      </c>
      <c r="AM44" s="68">
        <v>0</v>
      </c>
      <c r="AN44" s="68">
        <v>0</v>
      </c>
      <c r="AO44" s="68">
        <v>10000</v>
      </c>
      <c r="AP44" s="68">
        <v>0</v>
      </c>
      <c r="AQ44" s="68">
        <v>2000</v>
      </c>
      <c r="AR44" s="68">
        <v>0</v>
      </c>
      <c r="AS44" s="68">
        <v>0</v>
      </c>
      <c r="AT44" s="68">
        <v>40356</v>
      </c>
      <c r="AU44" s="68">
        <v>53362</v>
      </c>
      <c r="AV44" s="68">
        <v>57465</v>
      </c>
      <c r="AW44" s="68">
        <v>34989</v>
      </c>
      <c r="AX44" s="68">
        <v>55739.53</v>
      </c>
      <c r="AY44" s="68">
        <v>46758</v>
      </c>
      <c r="AZ44" s="68">
        <v>19326</v>
      </c>
      <c r="BA44" s="68">
        <v>57712</v>
      </c>
      <c r="BB44" s="68">
        <v>19571</v>
      </c>
      <c r="BC44" s="68">
        <v>20529.34</v>
      </c>
      <c r="BD44" s="68">
        <v>33888</v>
      </c>
      <c r="BE44" s="68">
        <v>35898</v>
      </c>
      <c r="BF44" s="68">
        <v>22221</v>
      </c>
      <c r="BG44" s="68">
        <v>26999</v>
      </c>
      <c r="BH44" s="68">
        <v>19606</v>
      </c>
      <c r="BI44" s="68">
        <v>18967</v>
      </c>
      <c r="BJ44" s="68">
        <v>17495</v>
      </c>
      <c r="BK44" s="68">
        <v>18406</v>
      </c>
      <c r="BL44" s="68">
        <v>16784</v>
      </c>
      <c r="BM44" s="68">
        <v>7853</v>
      </c>
      <c r="BN44" s="68">
        <v>13594</v>
      </c>
      <c r="BO44" s="68">
        <v>18292</v>
      </c>
      <c r="BP44" s="68">
        <v>3674</v>
      </c>
      <c r="BQ44" s="68">
        <v>6628</v>
      </c>
      <c r="BR44" s="68">
        <v>3852</v>
      </c>
      <c r="BS44" s="68">
        <v>9604</v>
      </c>
      <c r="BT44" s="68">
        <v>4145</v>
      </c>
      <c r="BU44" s="68">
        <v>7906</v>
      </c>
      <c r="BV44" s="68">
        <v>7081</v>
      </c>
      <c r="BW44" s="68">
        <v>5044</v>
      </c>
      <c r="BX44" s="68">
        <v>2306</v>
      </c>
      <c r="BY44" s="68">
        <v>5796</v>
      </c>
      <c r="BZ44" s="68">
        <v>1972</v>
      </c>
      <c r="CA44" s="68">
        <v>2421</v>
      </c>
      <c r="CB44" s="68">
        <v>5754</v>
      </c>
      <c r="CC44" s="68">
        <v>4416</v>
      </c>
      <c r="CD44" s="68">
        <v>10865</v>
      </c>
      <c r="CE44" s="68">
        <v>1860</v>
      </c>
      <c r="CF44" s="68">
        <v>0</v>
      </c>
      <c r="CG44" s="68">
        <v>544</v>
      </c>
      <c r="CH44" s="68">
        <v>1333</v>
      </c>
      <c r="CI44" s="68">
        <v>0</v>
      </c>
      <c r="CJ44" s="68">
        <v>248</v>
      </c>
      <c r="CK44" s="68">
        <v>120.54</v>
      </c>
      <c r="CL44" s="68">
        <v>0</v>
      </c>
      <c r="CM44" s="68">
        <v>514</v>
      </c>
      <c r="CN44" s="68">
        <v>64.92</v>
      </c>
      <c r="CO44" s="68">
        <v>0</v>
      </c>
      <c r="CP44" s="68">
        <v>335</v>
      </c>
      <c r="CQ44" s="68">
        <v>84</v>
      </c>
      <c r="CR44" s="68">
        <v>0</v>
      </c>
      <c r="CS44" s="68">
        <v>1030</v>
      </c>
      <c r="CT44" s="68">
        <v>470</v>
      </c>
      <c r="CU44" s="68">
        <v>213</v>
      </c>
      <c r="CV44" s="68">
        <v>0</v>
      </c>
      <c r="CW44" s="68">
        <v>0</v>
      </c>
      <c r="CX44" s="68">
        <v>0</v>
      </c>
      <c r="CY44" s="68">
        <v>0</v>
      </c>
      <c r="CZ44" s="68">
        <v>0</v>
      </c>
      <c r="DA44" s="68">
        <v>0</v>
      </c>
      <c r="DB44" s="68">
        <v>0</v>
      </c>
      <c r="DC44" s="68">
        <v>400</v>
      </c>
    </row>
    <row r="45" spans="1:107">
      <c r="A45" s="57" t="s">
        <v>135</v>
      </c>
      <c r="B45" s="68">
        <v>21436878.62</v>
      </c>
      <c r="C45" s="68">
        <v>15117220.59</v>
      </c>
      <c r="D45" s="68">
        <v>511307.9</v>
      </c>
      <c r="E45" s="68">
        <v>1646211.81</v>
      </c>
      <c r="F45" s="68">
        <v>734456.78</v>
      </c>
      <c r="G45" s="68">
        <v>0</v>
      </c>
      <c r="H45" s="68">
        <v>0</v>
      </c>
      <c r="I45" s="68">
        <v>0</v>
      </c>
      <c r="J45" s="68">
        <v>371715.56</v>
      </c>
      <c r="K45" s="68">
        <v>0</v>
      </c>
      <c r="L45" s="68">
        <v>0</v>
      </c>
      <c r="M45" s="68">
        <v>0</v>
      </c>
      <c r="N45" s="68">
        <v>86892</v>
      </c>
      <c r="O45" s="68">
        <v>0</v>
      </c>
      <c r="P45" s="68">
        <v>0</v>
      </c>
      <c r="Q45" s="68">
        <v>0</v>
      </c>
      <c r="R45" s="68">
        <v>0</v>
      </c>
      <c r="S45" s="68">
        <v>28063.57</v>
      </c>
      <c r="T45" s="68">
        <v>0</v>
      </c>
      <c r="U45" s="68">
        <v>2829166.69</v>
      </c>
      <c r="V45" s="68">
        <v>0</v>
      </c>
      <c r="W45" s="68">
        <v>0</v>
      </c>
      <c r="X45" s="68">
        <v>1187692.11</v>
      </c>
      <c r="Y45" s="68">
        <v>0</v>
      </c>
      <c r="Z45" s="68">
        <v>118189.32</v>
      </c>
      <c r="AA45" s="68">
        <v>0</v>
      </c>
      <c r="AB45" s="68">
        <v>118184.32</v>
      </c>
      <c r="AC45" s="68">
        <v>110302.34</v>
      </c>
      <c r="AD45" s="68">
        <v>111843.72</v>
      </c>
      <c r="AE45" s="68">
        <v>0</v>
      </c>
      <c r="AF45" s="68">
        <v>154563.12</v>
      </c>
      <c r="AG45" s="68">
        <v>160376.64</v>
      </c>
      <c r="AH45" s="68">
        <v>196368.14</v>
      </c>
      <c r="AI45" s="68">
        <v>0</v>
      </c>
      <c r="AJ45" s="68">
        <v>111843.72</v>
      </c>
      <c r="AK45" s="68">
        <v>362205.95</v>
      </c>
      <c r="AL45" s="68">
        <v>372250.83</v>
      </c>
      <c r="AM45" s="68">
        <v>0</v>
      </c>
      <c r="AN45" s="68">
        <v>0</v>
      </c>
      <c r="AO45" s="68">
        <v>0</v>
      </c>
      <c r="AP45" s="68">
        <v>0</v>
      </c>
      <c r="AQ45" s="68">
        <v>0</v>
      </c>
      <c r="AR45" s="68">
        <v>0</v>
      </c>
      <c r="AS45" s="68">
        <v>0</v>
      </c>
      <c r="AT45" s="68">
        <v>438143.5</v>
      </c>
      <c r="AU45" s="68">
        <v>606136.66</v>
      </c>
      <c r="AV45" s="68">
        <v>599871.01</v>
      </c>
      <c r="AW45" s="68">
        <v>466608</v>
      </c>
      <c r="AX45" s="68">
        <v>778160.18</v>
      </c>
      <c r="AY45" s="68">
        <v>267844.34</v>
      </c>
      <c r="AZ45" s="68">
        <v>122356.51</v>
      </c>
      <c r="BA45" s="68">
        <v>260424</v>
      </c>
      <c r="BB45" s="68">
        <v>746808</v>
      </c>
      <c r="BC45" s="68">
        <v>826712.47</v>
      </c>
      <c r="BD45" s="68">
        <v>1259511.22</v>
      </c>
      <c r="BE45" s="68">
        <v>652560.7</v>
      </c>
      <c r="BF45" s="68">
        <v>1148666.05</v>
      </c>
      <c r="BG45" s="68">
        <v>781579.14</v>
      </c>
      <c r="BH45" s="68">
        <v>374025.97</v>
      </c>
      <c r="BI45" s="68">
        <v>94717</v>
      </c>
      <c r="BJ45" s="68">
        <v>296538.49</v>
      </c>
      <c r="BK45" s="68">
        <v>162368.48</v>
      </c>
      <c r="BL45" s="68">
        <v>183494.66</v>
      </c>
      <c r="BM45" s="68">
        <v>177602</v>
      </c>
      <c r="BN45" s="68">
        <v>167441.96</v>
      </c>
      <c r="BO45" s="68">
        <v>239476.6</v>
      </c>
      <c r="BP45" s="68">
        <v>247311.52</v>
      </c>
      <c r="BQ45" s="68">
        <v>47320</v>
      </c>
      <c r="BR45" s="68">
        <v>80318</v>
      </c>
      <c r="BS45" s="68">
        <v>68089.41</v>
      </c>
      <c r="BT45" s="68">
        <v>73498.36</v>
      </c>
      <c r="BU45" s="68">
        <v>123887</v>
      </c>
      <c r="BV45" s="68">
        <v>84261.46</v>
      </c>
      <c r="BW45" s="68">
        <v>368434.76</v>
      </c>
      <c r="BX45" s="68">
        <v>74456.36</v>
      </c>
      <c r="BY45" s="68">
        <v>162133.36</v>
      </c>
      <c r="BZ45" s="68">
        <v>32885.16</v>
      </c>
      <c r="CA45" s="68">
        <v>23427.36</v>
      </c>
      <c r="CB45" s="68">
        <v>77109.23</v>
      </c>
      <c r="CC45" s="68">
        <v>788379.18</v>
      </c>
      <c r="CD45" s="68">
        <v>180654.12</v>
      </c>
      <c r="CE45" s="68">
        <v>100880.8</v>
      </c>
      <c r="CF45" s="68">
        <v>98801.53</v>
      </c>
      <c r="CG45" s="68">
        <v>177213.35</v>
      </c>
      <c r="CH45" s="68">
        <v>65872.82</v>
      </c>
      <c r="CI45" s="68">
        <v>55934.48</v>
      </c>
      <c r="CJ45" s="68">
        <v>54764.6</v>
      </c>
      <c r="CK45" s="68">
        <v>54625.05</v>
      </c>
      <c r="CL45" s="68">
        <v>53749.5</v>
      </c>
      <c r="CM45" s="68">
        <v>74486.04</v>
      </c>
      <c r="CN45" s="68">
        <v>128541.97</v>
      </c>
      <c r="CO45" s="68">
        <v>51729</v>
      </c>
      <c r="CP45" s="68">
        <v>89127.1</v>
      </c>
      <c r="CQ45" s="68">
        <v>77892.14</v>
      </c>
      <c r="CR45" s="68">
        <v>33043.67</v>
      </c>
      <c r="CS45" s="68">
        <v>84349.78</v>
      </c>
      <c r="CT45" s="68">
        <v>30379.84</v>
      </c>
      <c r="CU45" s="68">
        <v>78200.32</v>
      </c>
      <c r="CV45" s="68">
        <v>75923</v>
      </c>
      <c r="CW45" s="68">
        <v>43698.85</v>
      </c>
      <c r="CX45" s="68">
        <v>22260</v>
      </c>
      <c r="CY45" s="68">
        <v>81630.06</v>
      </c>
      <c r="CZ45" s="68">
        <v>35097.7</v>
      </c>
      <c r="DA45" s="68">
        <v>149206.35</v>
      </c>
      <c r="DB45" s="68">
        <v>262833.74</v>
      </c>
      <c r="DC45" s="68">
        <v>53766.68</v>
      </c>
    </row>
    <row r="46" spans="1:107">
      <c r="A46" s="57" t="s">
        <v>136</v>
      </c>
      <c r="B46" s="68">
        <v>10416762.37</v>
      </c>
      <c r="C46" s="68">
        <v>1715724.14</v>
      </c>
      <c r="D46" s="68">
        <v>0</v>
      </c>
      <c r="E46" s="68">
        <v>446678.63</v>
      </c>
      <c r="F46" s="68">
        <v>144692.87</v>
      </c>
      <c r="G46" s="68">
        <v>0</v>
      </c>
      <c r="H46" s="68">
        <v>8109666.73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446678.63</v>
      </c>
      <c r="Y46" s="68">
        <v>0</v>
      </c>
      <c r="Z46" s="68">
        <v>0</v>
      </c>
      <c r="AA46" s="68">
        <v>0</v>
      </c>
      <c r="AB46" s="68">
        <v>0</v>
      </c>
      <c r="AC46" s="68">
        <v>0</v>
      </c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61693.3</v>
      </c>
      <c r="AL46" s="68">
        <v>79186.93</v>
      </c>
      <c r="AM46" s="68">
        <v>3812.64</v>
      </c>
      <c r="AN46" s="68">
        <v>0</v>
      </c>
      <c r="AO46" s="68">
        <v>0</v>
      </c>
      <c r="AP46" s="68">
        <v>0</v>
      </c>
      <c r="AQ46" s="68">
        <v>0</v>
      </c>
      <c r="AR46" s="68">
        <v>0</v>
      </c>
      <c r="AS46" s="68">
        <v>0</v>
      </c>
      <c r="AT46" s="68">
        <v>107925.24</v>
      </c>
      <c r="AU46" s="68">
        <v>55645.09</v>
      </c>
      <c r="AV46" s="68">
        <v>76125.16</v>
      </c>
      <c r="AW46" s="68">
        <v>54801.71</v>
      </c>
      <c r="AX46" s="68">
        <v>57749.67</v>
      </c>
      <c r="AY46" s="68">
        <v>212340.44</v>
      </c>
      <c r="AZ46" s="68">
        <v>36541.02</v>
      </c>
      <c r="BA46" s="68">
        <v>52344.94</v>
      </c>
      <c r="BB46" s="68">
        <v>47142.81</v>
      </c>
      <c r="BC46" s="68">
        <v>34286.52</v>
      </c>
      <c r="BD46" s="68">
        <v>70199.1</v>
      </c>
      <c r="BE46" s="68">
        <v>34863.55</v>
      </c>
      <c r="BF46" s="68">
        <v>51736.2</v>
      </c>
      <c r="BG46" s="68">
        <v>81576.5</v>
      </c>
      <c r="BH46" s="68">
        <v>31771.91</v>
      </c>
      <c r="BI46" s="68">
        <v>41920.51</v>
      </c>
      <c r="BJ46" s="68">
        <v>18277.26</v>
      </c>
      <c r="BK46" s="68">
        <v>20816.24</v>
      </c>
      <c r="BL46" s="68">
        <v>43440.36</v>
      </c>
      <c r="BM46" s="68">
        <v>35044.62</v>
      </c>
      <c r="BN46" s="68">
        <v>36199.5</v>
      </c>
      <c r="BO46" s="68">
        <v>23583.77</v>
      </c>
      <c r="BP46" s="68">
        <v>23315.47</v>
      </c>
      <c r="BQ46" s="68">
        <v>13622</v>
      </c>
      <c r="BR46" s="68">
        <v>31952.78</v>
      </c>
      <c r="BS46" s="68">
        <v>11787.88</v>
      </c>
      <c r="BT46" s="68">
        <v>21983.77</v>
      </c>
      <c r="BU46" s="68">
        <v>61262.22</v>
      </c>
      <c r="BV46" s="68">
        <v>16106.87</v>
      </c>
      <c r="BW46" s="68">
        <v>21492.41</v>
      </c>
      <c r="BX46" s="68">
        <v>5961.34</v>
      </c>
      <c r="BY46" s="68">
        <v>33086.06</v>
      </c>
      <c r="BZ46" s="68">
        <v>6421.52</v>
      </c>
      <c r="CA46" s="68">
        <v>5754.8</v>
      </c>
      <c r="CB46" s="68">
        <v>20107.6</v>
      </c>
      <c r="CC46" s="68">
        <v>63031.21</v>
      </c>
      <c r="CD46" s="68">
        <v>67962.21</v>
      </c>
      <c r="CE46" s="68">
        <v>3757.36</v>
      </c>
      <c r="CF46" s="68">
        <v>0</v>
      </c>
      <c r="CG46" s="68">
        <v>2330.64</v>
      </c>
      <c r="CH46" s="68">
        <v>6639.47</v>
      </c>
      <c r="CI46" s="68">
        <v>183.66</v>
      </c>
      <c r="CJ46" s="68">
        <v>2811.19</v>
      </c>
      <c r="CK46" s="68">
        <v>2052.22</v>
      </c>
      <c r="CL46" s="68">
        <v>1594.79</v>
      </c>
      <c r="CM46" s="68">
        <v>8863.14</v>
      </c>
      <c r="CN46" s="68">
        <v>13828.55</v>
      </c>
      <c r="CO46" s="68">
        <v>801.44</v>
      </c>
      <c r="CP46" s="68">
        <v>6519.23</v>
      </c>
      <c r="CQ46" s="68">
        <v>5920.2</v>
      </c>
      <c r="CR46" s="68">
        <v>695.25</v>
      </c>
      <c r="CS46" s="68">
        <v>6210.95</v>
      </c>
      <c r="CT46" s="68">
        <v>1300</v>
      </c>
      <c r="CU46" s="68">
        <v>9370.35</v>
      </c>
      <c r="CV46" s="68">
        <v>1116.71</v>
      </c>
      <c r="CW46" s="68">
        <v>283.06</v>
      </c>
      <c r="CX46" s="68">
        <v>2837.92</v>
      </c>
      <c r="CY46" s="68">
        <v>1438.9</v>
      </c>
      <c r="CZ46" s="68">
        <v>136.18</v>
      </c>
      <c r="DA46" s="68">
        <v>1269.56</v>
      </c>
      <c r="DB46" s="68">
        <v>7583.11</v>
      </c>
      <c r="DC46" s="68">
        <v>0</v>
      </c>
    </row>
    <row r="47" spans="1:107">
      <c r="A47" s="57" t="s">
        <v>137</v>
      </c>
      <c r="B47" s="68">
        <v>3295283.99</v>
      </c>
      <c r="C47" s="68">
        <v>57777.81</v>
      </c>
      <c r="D47" s="68">
        <v>0</v>
      </c>
      <c r="E47" s="68">
        <v>0</v>
      </c>
      <c r="F47" s="68">
        <v>358719.99</v>
      </c>
      <c r="G47" s="68">
        <v>0</v>
      </c>
      <c r="H47" s="68">
        <v>2878786.19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68">
        <v>0</v>
      </c>
      <c r="AD47" s="68">
        <v>0</v>
      </c>
      <c r="AE47" s="68">
        <v>0</v>
      </c>
      <c r="AF47" s="68">
        <v>0</v>
      </c>
      <c r="AG47" s="68">
        <v>0</v>
      </c>
      <c r="AH47" s="68">
        <v>0</v>
      </c>
      <c r="AI47" s="68">
        <v>0</v>
      </c>
      <c r="AJ47" s="68">
        <v>0</v>
      </c>
      <c r="AK47" s="68">
        <v>358719.99</v>
      </c>
      <c r="AL47" s="68">
        <v>0</v>
      </c>
      <c r="AM47" s="68">
        <v>0</v>
      </c>
      <c r="AN47" s="68">
        <v>0</v>
      </c>
      <c r="AO47" s="68">
        <v>0</v>
      </c>
      <c r="AP47" s="68">
        <v>11666.69</v>
      </c>
      <c r="AQ47" s="68">
        <v>0</v>
      </c>
      <c r="AR47" s="68">
        <v>0</v>
      </c>
      <c r="AS47" s="68">
        <v>0</v>
      </c>
      <c r="AT47" s="68">
        <v>0</v>
      </c>
      <c r="AU47" s="68">
        <v>0</v>
      </c>
      <c r="AV47" s="68">
        <v>0</v>
      </c>
      <c r="AW47" s="68">
        <v>0</v>
      </c>
      <c r="AX47" s="68">
        <v>0</v>
      </c>
      <c r="AY47" s="68">
        <v>0</v>
      </c>
      <c r="AZ47" s="68">
        <v>0</v>
      </c>
      <c r="BA47" s="68">
        <v>0</v>
      </c>
      <c r="BB47" s="68">
        <v>0</v>
      </c>
      <c r="BC47" s="68">
        <v>0</v>
      </c>
      <c r="BD47" s="68">
        <v>0</v>
      </c>
      <c r="BE47" s="68">
        <v>0</v>
      </c>
      <c r="BF47" s="68">
        <v>0</v>
      </c>
      <c r="BG47" s="68">
        <v>11111.12</v>
      </c>
      <c r="BH47" s="68">
        <v>0</v>
      </c>
      <c r="BI47" s="68">
        <v>0</v>
      </c>
      <c r="BJ47" s="68">
        <v>0</v>
      </c>
      <c r="BK47" s="68">
        <v>0</v>
      </c>
      <c r="BL47" s="68">
        <v>0</v>
      </c>
      <c r="BM47" s="68">
        <v>0</v>
      </c>
      <c r="BN47" s="68">
        <v>0</v>
      </c>
      <c r="BO47" s="68">
        <v>0</v>
      </c>
      <c r="BP47" s="68">
        <v>0</v>
      </c>
      <c r="BQ47" s="68">
        <v>0</v>
      </c>
      <c r="BR47" s="68">
        <v>0</v>
      </c>
      <c r="BS47" s="68">
        <v>0</v>
      </c>
      <c r="BT47" s="68">
        <v>0</v>
      </c>
      <c r="BU47" s="68">
        <v>0</v>
      </c>
      <c r="BV47" s="68">
        <v>0</v>
      </c>
      <c r="BW47" s="68">
        <v>35000</v>
      </c>
      <c r="BX47" s="68">
        <v>0</v>
      </c>
      <c r="BY47" s="68">
        <v>0</v>
      </c>
      <c r="BZ47" s="68">
        <v>0</v>
      </c>
      <c r="CA47" s="68">
        <v>0</v>
      </c>
      <c r="CB47" s="68">
        <v>0</v>
      </c>
      <c r="CC47" s="68">
        <v>0</v>
      </c>
      <c r="CD47" s="68">
        <v>0</v>
      </c>
      <c r="CE47" s="68">
        <v>0</v>
      </c>
      <c r="CF47" s="68">
        <v>0</v>
      </c>
      <c r="CG47" s="68">
        <v>0</v>
      </c>
      <c r="CH47" s="68">
        <v>0</v>
      </c>
      <c r="CI47" s="68">
        <v>0</v>
      </c>
      <c r="CJ47" s="68">
        <v>0</v>
      </c>
      <c r="CK47" s="68">
        <v>0</v>
      </c>
      <c r="CL47" s="68">
        <v>0</v>
      </c>
      <c r="CM47" s="68">
        <v>0</v>
      </c>
      <c r="CN47" s="68">
        <v>0</v>
      </c>
      <c r="CO47" s="68">
        <v>0</v>
      </c>
      <c r="CP47" s="68">
        <v>0</v>
      </c>
      <c r="CQ47" s="68">
        <v>0</v>
      </c>
      <c r="CR47" s="68">
        <v>0</v>
      </c>
      <c r="CS47" s="68">
        <v>0</v>
      </c>
      <c r="CT47" s="68">
        <v>0</v>
      </c>
      <c r="CU47" s="68">
        <v>0</v>
      </c>
      <c r="CV47" s="68">
        <v>0</v>
      </c>
      <c r="CW47" s="68">
        <v>0</v>
      </c>
      <c r="CX47" s="68">
        <v>0</v>
      </c>
      <c r="CY47" s="68">
        <v>0</v>
      </c>
      <c r="CZ47" s="68">
        <v>0</v>
      </c>
      <c r="DA47" s="68">
        <v>0</v>
      </c>
      <c r="DB47" s="68">
        <v>0</v>
      </c>
      <c r="DC47" s="68">
        <v>0</v>
      </c>
    </row>
    <row r="48" spans="1:107">
      <c r="A48" s="57" t="s">
        <v>138</v>
      </c>
      <c r="B48" s="68">
        <v>4718768.13</v>
      </c>
      <c r="C48" s="68">
        <v>2363461.85</v>
      </c>
      <c r="D48" s="68">
        <v>274977.6</v>
      </c>
      <c r="E48" s="68">
        <v>142745.63</v>
      </c>
      <c r="F48" s="68">
        <v>129748.69</v>
      </c>
      <c r="G48" s="68">
        <v>0</v>
      </c>
      <c r="H48" s="68">
        <v>1731294.51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42223.23</v>
      </c>
      <c r="V48" s="68">
        <v>0</v>
      </c>
      <c r="W48" s="68">
        <v>0</v>
      </c>
      <c r="X48" s="68">
        <v>27148.91</v>
      </c>
      <c r="Y48" s="68">
        <v>0</v>
      </c>
      <c r="Z48" s="68">
        <v>31367.18</v>
      </c>
      <c r="AA48" s="68">
        <v>0</v>
      </c>
      <c r="AB48" s="68">
        <v>28481.82</v>
      </c>
      <c r="AC48" s="68">
        <v>27948.46</v>
      </c>
      <c r="AD48" s="68">
        <v>27799.26</v>
      </c>
      <c r="AE48" s="68">
        <v>0</v>
      </c>
      <c r="AF48" s="68">
        <v>76542.68</v>
      </c>
      <c r="AG48" s="68">
        <v>77796.12</v>
      </c>
      <c r="AH48" s="68">
        <v>120638.8</v>
      </c>
      <c r="AI48" s="68">
        <v>0</v>
      </c>
      <c r="AJ48" s="68">
        <v>34316.62</v>
      </c>
      <c r="AK48" s="68">
        <v>62875.64</v>
      </c>
      <c r="AL48" s="68">
        <v>66873.05</v>
      </c>
      <c r="AM48" s="68">
        <v>0</v>
      </c>
      <c r="AN48" s="68">
        <v>0</v>
      </c>
      <c r="AO48" s="68">
        <v>3542.1</v>
      </c>
      <c r="AP48" s="68">
        <v>0</v>
      </c>
      <c r="AQ48" s="68">
        <v>0</v>
      </c>
      <c r="AR48" s="68">
        <v>0</v>
      </c>
      <c r="AS48" s="68">
        <v>0</v>
      </c>
      <c r="AT48" s="68">
        <v>18381.84</v>
      </c>
      <c r="AU48" s="68">
        <v>78029.27</v>
      </c>
      <c r="AV48" s="68">
        <v>283467.35</v>
      </c>
      <c r="AW48" s="68">
        <v>22370.88</v>
      </c>
      <c r="AX48" s="68">
        <v>78685.84</v>
      </c>
      <c r="AY48" s="68">
        <v>250228.4</v>
      </c>
      <c r="AZ48" s="68">
        <v>98117.14</v>
      </c>
      <c r="BA48" s="68">
        <v>0</v>
      </c>
      <c r="BB48" s="68">
        <v>100335.3</v>
      </c>
      <c r="BC48" s="68">
        <v>105501.84</v>
      </c>
      <c r="BD48" s="68">
        <v>0</v>
      </c>
      <c r="BE48" s="68">
        <v>0</v>
      </c>
      <c r="BF48" s="68">
        <v>0</v>
      </c>
      <c r="BG48" s="68">
        <v>65390</v>
      </c>
      <c r="BH48" s="68">
        <v>0</v>
      </c>
      <c r="BI48" s="68">
        <v>113558.44</v>
      </c>
      <c r="BJ48" s="68">
        <v>19626.68</v>
      </c>
      <c r="BK48" s="68">
        <v>12306.8</v>
      </c>
      <c r="BL48" s="68">
        <v>27462.66</v>
      </c>
      <c r="BM48" s="68">
        <v>29712.83</v>
      </c>
      <c r="BN48" s="68">
        <v>76601.12</v>
      </c>
      <c r="BO48" s="68">
        <v>50883.95</v>
      </c>
      <c r="BP48" s="68">
        <v>70064.32</v>
      </c>
      <c r="BQ48" s="68">
        <v>24738.56</v>
      </c>
      <c r="BR48" s="68">
        <v>64296.24</v>
      </c>
      <c r="BS48" s="68">
        <v>0</v>
      </c>
      <c r="BT48" s="68">
        <v>37286.88</v>
      </c>
      <c r="BU48" s="68">
        <v>57793.76</v>
      </c>
      <c r="BV48" s="68">
        <v>38582.34</v>
      </c>
      <c r="BW48" s="68">
        <v>113519.29</v>
      </c>
      <c r="BX48" s="68">
        <v>30286.82</v>
      </c>
      <c r="BY48" s="68">
        <v>6422.24</v>
      </c>
      <c r="BZ48" s="68">
        <v>21420</v>
      </c>
      <c r="CA48" s="68">
        <v>9979.28</v>
      </c>
      <c r="CB48" s="68">
        <v>30057.2</v>
      </c>
      <c r="CC48" s="68">
        <v>189540.24</v>
      </c>
      <c r="CD48" s="68">
        <v>29256.98</v>
      </c>
      <c r="CE48" s="68">
        <v>0</v>
      </c>
      <c r="CF48" s="68">
        <v>7142.13</v>
      </c>
      <c r="CG48" s="68">
        <v>0</v>
      </c>
      <c r="CH48" s="68">
        <v>6933.36</v>
      </c>
      <c r="CI48" s="68">
        <v>1180.35</v>
      </c>
      <c r="CJ48" s="68">
        <v>83522.22</v>
      </c>
      <c r="CK48" s="68">
        <v>890</v>
      </c>
      <c r="CL48" s="68">
        <v>11459.65</v>
      </c>
      <c r="CM48" s="68">
        <v>10851.12</v>
      </c>
      <c r="CN48" s="68">
        <v>9043.45</v>
      </c>
      <c r="CO48" s="68">
        <v>1025.97</v>
      </c>
      <c r="CP48" s="68">
        <v>12652.1</v>
      </c>
      <c r="CQ48" s="68">
        <v>0</v>
      </c>
      <c r="CR48" s="68">
        <v>4852.52</v>
      </c>
      <c r="CS48" s="68">
        <v>21533.47</v>
      </c>
      <c r="CT48" s="68">
        <v>4491.78</v>
      </c>
      <c r="CU48" s="68">
        <v>6995.84</v>
      </c>
      <c r="CV48" s="68">
        <v>0</v>
      </c>
      <c r="CW48" s="68">
        <v>0</v>
      </c>
      <c r="CX48" s="68">
        <v>17263.54</v>
      </c>
      <c r="CY48" s="68">
        <v>0</v>
      </c>
      <c r="CZ48" s="68">
        <v>0</v>
      </c>
      <c r="DA48" s="68">
        <v>0</v>
      </c>
      <c r="DB48" s="68">
        <v>6177.76</v>
      </c>
      <c r="DC48" s="68">
        <v>0</v>
      </c>
    </row>
    <row r="49" spans="1:107">
      <c r="A49" s="57" t="s">
        <v>139</v>
      </c>
      <c r="B49" s="68">
        <v>37668.09</v>
      </c>
      <c r="C49" s="68">
        <v>3253</v>
      </c>
      <c r="D49" s="68">
        <v>0</v>
      </c>
      <c r="E49" s="68">
        <v>0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8">
        <v>0</v>
      </c>
      <c r="S49" s="68">
        <v>0</v>
      </c>
      <c r="T49" s="68">
        <v>0</v>
      </c>
      <c r="U49" s="68">
        <v>33215.09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68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1200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8">
        <v>0</v>
      </c>
      <c r="AQ49" s="68">
        <v>0</v>
      </c>
      <c r="AR49" s="68">
        <v>0</v>
      </c>
      <c r="AS49" s="68">
        <v>0</v>
      </c>
      <c r="AT49" s="68">
        <v>0</v>
      </c>
      <c r="AU49" s="68">
        <v>0</v>
      </c>
      <c r="AV49" s="68">
        <v>0</v>
      </c>
      <c r="AW49" s="68">
        <v>0</v>
      </c>
      <c r="AX49" s="68">
        <v>0</v>
      </c>
      <c r="AY49" s="68">
        <v>0</v>
      </c>
      <c r="AZ49" s="68">
        <v>0</v>
      </c>
      <c r="BA49" s="68">
        <v>0</v>
      </c>
      <c r="BB49" s="68">
        <v>0</v>
      </c>
      <c r="BC49" s="68">
        <v>0</v>
      </c>
      <c r="BD49" s="68">
        <v>0</v>
      </c>
      <c r="BE49" s="68">
        <v>0</v>
      </c>
      <c r="BF49" s="68">
        <v>0</v>
      </c>
      <c r="BG49" s="68">
        <v>3253</v>
      </c>
      <c r="BH49" s="68">
        <v>0</v>
      </c>
      <c r="BI49" s="68">
        <v>0</v>
      </c>
      <c r="BJ49" s="68">
        <v>0</v>
      </c>
      <c r="BK49" s="68">
        <v>0</v>
      </c>
      <c r="BL49" s="68">
        <v>0</v>
      </c>
      <c r="BM49" s="68">
        <v>0</v>
      </c>
      <c r="BN49" s="68">
        <v>0</v>
      </c>
      <c r="BO49" s="68">
        <v>0</v>
      </c>
      <c r="BP49" s="68">
        <v>0</v>
      </c>
      <c r="BQ49" s="68">
        <v>0</v>
      </c>
      <c r="BR49" s="68">
        <v>0</v>
      </c>
      <c r="BS49" s="68">
        <v>0</v>
      </c>
      <c r="BT49" s="68">
        <v>0</v>
      </c>
      <c r="BU49" s="68">
        <v>0</v>
      </c>
      <c r="BV49" s="68">
        <v>0</v>
      </c>
      <c r="BW49" s="68">
        <v>0</v>
      </c>
      <c r="BX49" s="68">
        <v>0</v>
      </c>
      <c r="BY49" s="68">
        <v>0</v>
      </c>
      <c r="BZ49" s="68">
        <v>0</v>
      </c>
      <c r="CA49" s="68">
        <v>0</v>
      </c>
      <c r="CB49" s="68">
        <v>0</v>
      </c>
      <c r="CC49" s="68">
        <v>0</v>
      </c>
      <c r="CD49" s="68">
        <v>0</v>
      </c>
      <c r="CE49" s="68">
        <v>0</v>
      </c>
      <c r="CF49" s="68">
        <v>0</v>
      </c>
      <c r="CG49" s="68">
        <v>0</v>
      </c>
      <c r="CH49" s="68">
        <v>0</v>
      </c>
      <c r="CI49" s="68">
        <v>0</v>
      </c>
      <c r="CJ49" s="68">
        <v>0</v>
      </c>
      <c r="CK49" s="68">
        <v>0</v>
      </c>
      <c r="CL49" s="68">
        <v>0</v>
      </c>
      <c r="CM49" s="68">
        <v>0</v>
      </c>
      <c r="CN49" s="68">
        <v>0</v>
      </c>
      <c r="CO49" s="68">
        <v>0</v>
      </c>
      <c r="CP49" s="68">
        <v>0</v>
      </c>
      <c r="CQ49" s="68">
        <v>0</v>
      </c>
      <c r="CR49" s="68">
        <v>0</v>
      </c>
      <c r="CS49" s="68">
        <v>0</v>
      </c>
      <c r="CT49" s="68">
        <v>0</v>
      </c>
      <c r="CU49" s="68">
        <v>0</v>
      </c>
      <c r="CV49" s="68">
        <v>0</v>
      </c>
      <c r="CW49" s="68">
        <v>0</v>
      </c>
      <c r="CX49" s="68">
        <v>0</v>
      </c>
      <c r="CY49" s="68">
        <v>0</v>
      </c>
      <c r="CZ49" s="68">
        <v>0</v>
      </c>
      <c r="DA49" s="68">
        <v>0</v>
      </c>
      <c r="DB49" s="68">
        <v>0</v>
      </c>
      <c r="DC49" s="68">
        <v>0</v>
      </c>
    </row>
    <row r="50" s="61" customFormat="1" spans="1:107">
      <c r="A50" s="69" t="s">
        <v>102</v>
      </c>
      <c r="B50" s="70">
        <v>54870567.15</v>
      </c>
      <c r="C50" s="70">
        <v>27630561.28</v>
      </c>
      <c r="D50" s="70">
        <v>988684.32</v>
      </c>
      <c r="E50" s="70">
        <v>3096905.41</v>
      </c>
      <c r="F50" s="70">
        <v>1658043.8</v>
      </c>
      <c r="G50" s="70">
        <v>31260.75</v>
      </c>
      <c r="H50" s="70">
        <v>15392937.04</v>
      </c>
      <c r="I50" s="70">
        <v>111843.88</v>
      </c>
      <c r="J50" s="70">
        <v>1408595.76</v>
      </c>
      <c r="K50" s="70">
        <v>69967.78</v>
      </c>
      <c r="L50" s="70">
        <v>1448.19</v>
      </c>
      <c r="M50" s="70">
        <v>38320.7</v>
      </c>
      <c r="N50" s="70">
        <v>95706.39</v>
      </c>
      <c r="O50" s="70">
        <v>886.74</v>
      </c>
      <c r="P50" s="70">
        <v>154187.13</v>
      </c>
      <c r="Q50" s="70">
        <v>2953.05</v>
      </c>
      <c r="R50" s="70">
        <v>4078.08</v>
      </c>
      <c r="S50" s="70">
        <v>71308.58</v>
      </c>
      <c r="T50" s="70">
        <v>10294.84</v>
      </c>
      <c r="U50" s="70">
        <v>3916711.51</v>
      </c>
      <c r="V50" s="70">
        <v>0</v>
      </c>
      <c r="W50" s="70">
        <v>0</v>
      </c>
      <c r="X50" s="70">
        <v>1719901.52</v>
      </c>
      <c r="Y50" s="70">
        <v>0</v>
      </c>
      <c r="Z50" s="70">
        <v>346382.56</v>
      </c>
      <c r="AA50" s="70">
        <v>0</v>
      </c>
      <c r="AB50" s="70">
        <v>244263.51</v>
      </c>
      <c r="AC50" s="70">
        <v>397063.09</v>
      </c>
      <c r="AD50" s="70">
        <v>389273.98</v>
      </c>
      <c r="AE50" s="70">
        <v>20.75</v>
      </c>
      <c r="AF50" s="70">
        <v>290544.46</v>
      </c>
      <c r="AG50" s="70">
        <v>299870.3</v>
      </c>
      <c r="AH50" s="70">
        <v>372737.51</v>
      </c>
      <c r="AI50" s="70">
        <v>25532.05</v>
      </c>
      <c r="AJ50" s="70">
        <v>185871.92</v>
      </c>
      <c r="AK50" s="70">
        <v>1063405.96</v>
      </c>
      <c r="AL50" s="70">
        <v>587886.92</v>
      </c>
      <c r="AM50" s="70">
        <v>6750.92</v>
      </c>
      <c r="AN50" s="70">
        <v>0</v>
      </c>
      <c r="AO50" s="70">
        <v>235331.8</v>
      </c>
      <c r="AP50" s="70">
        <v>18317.35</v>
      </c>
      <c r="AQ50" s="70">
        <v>36076.09</v>
      </c>
      <c r="AR50" s="70">
        <v>13357.46</v>
      </c>
      <c r="AS50" s="70">
        <v>13570.48</v>
      </c>
      <c r="AT50" s="70">
        <v>953392.07</v>
      </c>
      <c r="AU50" s="70">
        <v>1244979.36</v>
      </c>
      <c r="AV50" s="70">
        <v>1291837.36</v>
      </c>
      <c r="AW50" s="70">
        <v>932077.38</v>
      </c>
      <c r="AX50" s="70">
        <v>1314828.48</v>
      </c>
      <c r="AY50" s="70">
        <v>1142503.67</v>
      </c>
      <c r="AZ50" s="70">
        <v>447935.18</v>
      </c>
      <c r="BA50" s="70">
        <v>828859.78</v>
      </c>
      <c r="BB50" s="70">
        <v>1149031.77</v>
      </c>
      <c r="BC50" s="70">
        <v>1174513.29</v>
      </c>
      <c r="BD50" s="70">
        <v>1865204.77</v>
      </c>
      <c r="BE50" s="70">
        <v>1098443.84</v>
      </c>
      <c r="BF50" s="70">
        <v>1566620.95</v>
      </c>
      <c r="BG50" s="70">
        <v>1187191.33</v>
      </c>
      <c r="BH50" s="70">
        <v>650974.47</v>
      </c>
      <c r="BI50" s="70">
        <v>372694.79</v>
      </c>
      <c r="BJ50" s="70">
        <v>530724.51</v>
      </c>
      <c r="BK50" s="70">
        <v>430793.8</v>
      </c>
      <c r="BL50" s="70">
        <v>451021.02</v>
      </c>
      <c r="BM50" s="70">
        <v>339955.12</v>
      </c>
      <c r="BN50" s="70">
        <v>393558.07</v>
      </c>
      <c r="BO50" s="70">
        <v>643705.15</v>
      </c>
      <c r="BP50" s="70">
        <v>371266.79</v>
      </c>
      <c r="BQ50" s="70">
        <v>124362.06</v>
      </c>
      <c r="BR50" s="70">
        <v>217552.6</v>
      </c>
      <c r="BS50" s="70">
        <v>125526.29</v>
      </c>
      <c r="BT50" s="70">
        <v>162863.67</v>
      </c>
      <c r="BU50" s="70">
        <v>297177.4</v>
      </c>
      <c r="BV50" s="70">
        <v>197330.67</v>
      </c>
      <c r="BW50" s="70">
        <v>710942.16</v>
      </c>
      <c r="BX50" s="70">
        <v>133190.63</v>
      </c>
      <c r="BY50" s="70">
        <v>281477.65</v>
      </c>
      <c r="BZ50" s="70">
        <v>77096.68</v>
      </c>
      <c r="CA50" s="70">
        <v>85185.5</v>
      </c>
      <c r="CB50" s="70">
        <v>151563.63</v>
      </c>
      <c r="CC50" s="70">
        <v>1207632.21</v>
      </c>
      <c r="CD50" s="70">
        <v>505493.06</v>
      </c>
      <c r="CE50" s="70">
        <v>118731.92</v>
      </c>
      <c r="CF50" s="70">
        <v>106543.66</v>
      </c>
      <c r="CG50" s="70">
        <v>204175.45</v>
      </c>
      <c r="CH50" s="70">
        <v>119979.25</v>
      </c>
      <c r="CI50" s="70">
        <v>62199.49</v>
      </c>
      <c r="CJ50" s="70">
        <v>143146.01</v>
      </c>
      <c r="CK50" s="70">
        <v>60263.21</v>
      </c>
      <c r="CL50" s="70">
        <v>81761.94</v>
      </c>
      <c r="CM50" s="70">
        <v>131885.41</v>
      </c>
      <c r="CN50" s="70">
        <v>164162.89</v>
      </c>
      <c r="CO50" s="70">
        <v>57065.25</v>
      </c>
      <c r="CP50" s="70">
        <v>123198.43</v>
      </c>
      <c r="CQ50" s="70">
        <v>94832.34</v>
      </c>
      <c r="CR50" s="70">
        <v>43342.44</v>
      </c>
      <c r="CS50" s="70">
        <v>134956.79</v>
      </c>
      <c r="CT50" s="70">
        <v>41021.62</v>
      </c>
      <c r="CU50" s="70">
        <v>96366.49</v>
      </c>
      <c r="CV50" s="70">
        <v>85454.71</v>
      </c>
      <c r="CW50" s="70">
        <v>44481.91</v>
      </c>
      <c r="CX50" s="70">
        <v>66935.46</v>
      </c>
      <c r="CY50" s="70">
        <v>94153.66</v>
      </c>
      <c r="CZ50" s="70">
        <v>49630.88</v>
      </c>
      <c r="DA50" s="70">
        <v>150865.91</v>
      </c>
      <c r="DB50" s="70">
        <v>302976.76</v>
      </c>
      <c r="DC50" s="75">
        <v>76269.06</v>
      </c>
    </row>
    <row r="51" s="61" customFormat="1" ht="12.75" spans="1:107">
      <c r="A51" s="71" t="s">
        <v>4</v>
      </c>
      <c r="B51" s="72">
        <v>410378667.65</v>
      </c>
      <c r="C51" s="72">
        <v>203540745.67</v>
      </c>
      <c r="D51" s="72">
        <v>99548642.62</v>
      </c>
      <c r="E51" s="72">
        <v>19186534.22</v>
      </c>
      <c r="F51" s="72">
        <v>10375107.05</v>
      </c>
      <c r="G51" s="72">
        <v>10169920.52</v>
      </c>
      <c r="H51" s="72">
        <v>26853151.68</v>
      </c>
      <c r="I51" s="72">
        <v>1498691.17</v>
      </c>
      <c r="J51" s="72">
        <v>6424847.23</v>
      </c>
      <c r="K51" s="72">
        <v>3138298.1</v>
      </c>
      <c r="L51" s="72">
        <v>1331204.02</v>
      </c>
      <c r="M51" s="72">
        <v>2096631.79</v>
      </c>
      <c r="N51" s="72">
        <v>566923.66</v>
      </c>
      <c r="O51" s="72">
        <v>358217.47</v>
      </c>
      <c r="P51" s="72">
        <v>1755042.52</v>
      </c>
      <c r="Q51" s="72">
        <v>1501686.21</v>
      </c>
      <c r="R51" s="72">
        <v>1665805.64</v>
      </c>
      <c r="S51" s="72">
        <v>3673014.7</v>
      </c>
      <c r="T51" s="72">
        <v>2893147.53</v>
      </c>
      <c r="U51" s="72">
        <v>9458571.54</v>
      </c>
      <c r="V51" s="72">
        <v>64404.22</v>
      </c>
      <c r="W51" s="72">
        <v>19327.96</v>
      </c>
      <c r="X51" s="72">
        <v>3403523.56</v>
      </c>
      <c r="Y51" s="72">
        <v>40534.32</v>
      </c>
      <c r="Z51" s="72">
        <v>6625701.75</v>
      </c>
      <c r="AA51" s="72">
        <v>3776.58</v>
      </c>
      <c r="AB51" s="72">
        <v>2654607.59</v>
      </c>
      <c r="AC51" s="72">
        <v>3557335.68</v>
      </c>
      <c r="AD51" s="72">
        <v>2751876.72</v>
      </c>
      <c r="AE51" s="72">
        <v>149178.02</v>
      </c>
      <c r="AF51" s="72">
        <v>2308496.75</v>
      </c>
      <c r="AG51" s="72">
        <v>71767455.82</v>
      </c>
      <c r="AH51" s="72">
        <v>17554896.55</v>
      </c>
      <c r="AI51" s="72">
        <v>7917793.5</v>
      </c>
      <c r="AJ51" s="72">
        <v>4243741.74</v>
      </c>
      <c r="AK51" s="72">
        <v>7154541.5</v>
      </c>
      <c r="AL51" s="72">
        <v>2654590.63</v>
      </c>
      <c r="AM51" s="72">
        <v>565974.92</v>
      </c>
      <c r="AN51" s="72">
        <v>15010.39</v>
      </c>
      <c r="AO51" s="72">
        <v>51972273.93</v>
      </c>
      <c r="AP51" s="72">
        <v>2160064.82</v>
      </c>
      <c r="AQ51" s="72">
        <v>2086120.01</v>
      </c>
      <c r="AR51" s="72">
        <v>4235621.87</v>
      </c>
      <c r="AS51" s="72">
        <v>1926824.61</v>
      </c>
      <c r="AT51" s="72">
        <v>5863135.8</v>
      </c>
      <c r="AU51" s="72">
        <v>7398384.14</v>
      </c>
      <c r="AV51" s="72">
        <v>7880644.4</v>
      </c>
      <c r="AW51" s="72">
        <v>7796726.05</v>
      </c>
      <c r="AX51" s="72">
        <v>6293777.33</v>
      </c>
      <c r="AY51" s="72">
        <v>6477825.14</v>
      </c>
      <c r="AZ51" s="72">
        <v>3106139</v>
      </c>
      <c r="BA51" s="72">
        <v>7535340.77</v>
      </c>
      <c r="BB51" s="72">
        <v>3345010.72</v>
      </c>
      <c r="BC51" s="72">
        <v>2776082.47</v>
      </c>
      <c r="BD51" s="72">
        <v>7591724.66</v>
      </c>
      <c r="BE51" s="72">
        <v>6330910.17</v>
      </c>
      <c r="BF51" s="72">
        <v>5406382.79</v>
      </c>
      <c r="BG51" s="72">
        <v>5259838.3</v>
      </c>
      <c r="BH51" s="72">
        <v>3039433.96</v>
      </c>
      <c r="BI51" s="72">
        <v>2877982.33</v>
      </c>
      <c r="BJ51" s="72">
        <v>3347577.71</v>
      </c>
      <c r="BK51" s="72">
        <v>3016778.48</v>
      </c>
      <c r="BL51" s="72">
        <v>2056386.24</v>
      </c>
      <c r="BM51" s="72">
        <v>2078578.27</v>
      </c>
      <c r="BN51" s="72">
        <v>2683296.74</v>
      </c>
      <c r="BO51" s="72">
        <v>3543490.11</v>
      </c>
      <c r="BP51" s="72">
        <v>1384950.94</v>
      </c>
      <c r="BQ51" s="72">
        <v>1247389.02</v>
      </c>
      <c r="BR51" s="72">
        <v>917772.5</v>
      </c>
      <c r="BS51" s="72">
        <v>1497041.85</v>
      </c>
      <c r="BT51" s="72">
        <v>1159467.67</v>
      </c>
      <c r="BU51" s="72">
        <v>2343821.37</v>
      </c>
      <c r="BV51" s="72">
        <v>1281646.41</v>
      </c>
      <c r="BW51" s="72">
        <v>8891017.78</v>
      </c>
      <c r="BX51" s="72">
        <v>549737.65</v>
      </c>
      <c r="BY51" s="72">
        <v>1192077.04</v>
      </c>
      <c r="BZ51" s="72">
        <v>701422.4</v>
      </c>
      <c r="CA51" s="72">
        <v>731755.16</v>
      </c>
      <c r="CB51" s="72">
        <v>877558.93</v>
      </c>
      <c r="CC51" s="72">
        <v>2722727.75</v>
      </c>
      <c r="CD51" s="72">
        <v>2549310.87</v>
      </c>
      <c r="CE51" s="72">
        <v>481990.12</v>
      </c>
      <c r="CF51" s="72">
        <v>185697.64</v>
      </c>
      <c r="CG51" s="72">
        <v>493709.67</v>
      </c>
      <c r="CH51" s="72">
        <v>317992.81</v>
      </c>
      <c r="CI51" s="72">
        <v>254032.09</v>
      </c>
      <c r="CJ51" s="72">
        <v>361115.28</v>
      </c>
      <c r="CK51" s="72">
        <v>296614.47</v>
      </c>
      <c r="CL51" s="72">
        <v>331053.42</v>
      </c>
      <c r="CM51" s="72">
        <v>394293.93</v>
      </c>
      <c r="CN51" s="72">
        <v>368281.1</v>
      </c>
      <c r="CO51" s="72">
        <v>160567.28</v>
      </c>
      <c r="CP51" s="72">
        <v>389537.37</v>
      </c>
      <c r="CQ51" s="72">
        <v>331154.46</v>
      </c>
      <c r="CR51" s="72">
        <v>188323.45</v>
      </c>
      <c r="CS51" s="72">
        <v>460815.97</v>
      </c>
      <c r="CT51" s="72">
        <v>169730.41</v>
      </c>
      <c r="CU51" s="72">
        <v>309367.15</v>
      </c>
      <c r="CV51" s="72">
        <v>257266.67</v>
      </c>
      <c r="CW51" s="72">
        <v>95920.03</v>
      </c>
      <c r="CX51" s="72">
        <v>174108.62</v>
      </c>
      <c r="CY51" s="72">
        <v>339711.8</v>
      </c>
      <c r="CZ51" s="72">
        <v>166697.89</v>
      </c>
      <c r="DA51" s="72">
        <v>237987.35</v>
      </c>
      <c r="DB51" s="72">
        <v>358110.81</v>
      </c>
      <c r="DC51" s="76">
        <v>282617.72</v>
      </c>
    </row>
    <row r="54" ht="12.75" spans="1:1">
      <c r="A54" s="62" t="s">
        <v>650</v>
      </c>
    </row>
    <row r="55" spans="1:107">
      <c r="A55" s="64"/>
      <c r="B55" s="65" t="s">
        <v>148</v>
      </c>
      <c r="C55" s="66" t="s">
        <v>145</v>
      </c>
      <c r="D55" s="66" t="s">
        <v>642</v>
      </c>
      <c r="E55" s="66" t="s">
        <v>142</v>
      </c>
      <c r="F55" s="66" t="s">
        <v>643</v>
      </c>
      <c r="G55" s="67" t="s">
        <v>269</v>
      </c>
      <c r="H55" s="67" t="s">
        <v>270</v>
      </c>
      <c r="I55" s="73" t="s">
        <v>271</v>
      </c>
      <c r="J55" s="73" t="s">
        <v>272</v>
      </c>
      <c r="K55" s="73" t="s">
        <v>273</v>
      </c>
      <c r="L55" s="73" t="s">
        <v>274</v>
      </c>
      <c r="M55" s="73" t="s">
        <v>275</v>
      </c>
      <c r="N55" s="73" t="s">
        <v>276</v>
      </c>
      <c r="O55" s="73" t="s">
        <v>277</v>
      </c>
      <c r="P55" s="73" t="s">
        <v>278</v>
      </c>
      <c r="Q55" s="73" t="s">
        <v>80</v>
      </c>
      <c r="R55" s="73" t="s">
        <v>279</v>
      </c>
      <c r="S55" s="73" t="s">
        <v>280</v>
      </c>
      <c r="T55" s="73" t="s">
        <v>281</v>
      </c>
      <c r="U55" s="73" t="s">
        <v>282</v>
      </c>
      <c r="V55" s="73" t="s">
        <v>285</v>
      </c>
      <c r="W55" s="73" t="s">
        <v>155</v>
      </c>
      <c r="X55" s="73" t="s">
        <v>161</v>
      </c>
      <c r="Y55" s="73" t="s">
        <v>644</v>
      </c>
      <c r="Z55" s="73" t="s">
        <v>78</v>
      </c>
      <c r="AA55" s="73" t="s">
        <v>16</v>
      </c>
      <c r="AB55" s="73" t="s">
        <v>17</v>
      </c>
      <c r="AC55" s="73" t="s">
        <v>645</v>
      </c>
      <c r="AD55" s="73" t="s">
        <v>19</v>
      </c>
      <c r="AE55" s="73" t="s">
        <v>18</v>
      </c>
      <c r="AF55" s="73" t="s">
        <v>646</v>
      </c>
      <c r="AG55" s="73" t="s">
        <v>82</v>
      </c>
      <c r="AH55" s="73" t="s">
        <v>647</v>
      </c>
      <c r="AI55" s="73" t="s">
        <v>81</v>
      </c>
      <c r="AJ55" s="73" t="s">
        <v>9</v>
      </c>
      <c r="AK55" s="73" t="s">
        <v>158</v>
      </c>
      <c r="AL55" s="73" t="s">
        <v>163</v>
      </c>
      <c r="AM55" s="73" t="s">
        <v>164</v>
      </c>
      <c r="AN55" s="73" t="s">
        <v>159</v>
      </c>
      <c r="AO55" s="73" t="s">
        <v>165</v>
      </c>
      <c r="AP55" s="73" t="s">
        <v>166</v>
      </c>
      <c r="AQ55" s="73" t="s">
        <v>30</v>
      </c>
      <c r="AR55" s="73" t="s">
        <v>648</v>
      </c>
      <c r="AS55" s="73" t="s">
        <v>168</v>
      </c>
      <c r="AT55" s="73" t="s">
        <v>169</v>
      </c>
      <c r="AU55" s="73" t="s">
        <v>170</v>
      </c>
      <c r="AV55" s="73" t="s">
        <v>171</v>
      </c>
      <c r="AW55" s="73" t="s">
        <v>172</v>
      </c>
      <c r="AX55" s="73" t="s">
        <v>173</v>
      </c>
      <c r="AY55" s="73" t="s">
        <v>174</v>
      </c>
      <c r="AZ55" s="73" t="s">
        <v>175</v>
      </c>
      <c r="BA55" s="73" t="s">
        <v>176</v>
      </c>
      <c r="BB55" s="73" t="s">
        <v>177</v>
      </c>
      <c r="BC55" s="73" t="s">
        <v>178</v>
      </c>
      <c r="BD55" s="73" t="s">
        <v>179</v>
      </c>
      <c r="BE55" s="73" t="s">
        <v>180</v>
      </c>
      <c r="BF55" s="73" t="s">
        <v>649</v>
      </c>
      <c r="BG55" s="73" t="s">
        <v>182</v>
      </c>
      <c r="BH55" s="73" t="s">
        <v>183</v>
      </c>
      <c r="BI55" s="73" t="s">
        <v>184</v>
      </c>
      <c r="BJ55" s="73" t="s">
        <v>186</v>
      </c>
      <c r="BK55" s="73" t="s">
        <v>185</v>
      </c>
      <c r="BL55" s="73" t="s">
        <v>187</v>
      </c>
      <c r="BM55" s="73" t="s">
        <v>188</v>
      </c>
      <c r="BN55" s="73" t="s">
        <v>189</v>
      </c>
      <c r="BO55" s="73" t="s">
        <v>190</v>
      </c>
      <c r="BP55" s="73" t="s">
        <v>288</v>
      </c>
      <c r="BQ55" s="73" t="s">
        <v>192</v>
      </c>
      <c r="BR55" s="73" t="s">
        <v>193</v>
      </c>
      <c r="BS55" s="73" t="s">
        <v>194</v>
      </c>
      <c r="BT55" s="73" t="s">
        <v>195</v>
      </c>
      <c r="BU55" s="73" t="s">
        <v>196</v>
      </c>
      <c r="BV55" s="73" t="s">
        <v>197</v>
      </c>
      <c r="BW55" s="73" t="s">
        <v>198</v>
      </c>
      <c r="BX55" s="73" t="s">
        <v>199</v>
      </c>
      <c r="BY55" s="73" t="s">
        <v>200</v>
      </c>
      <c r="BZ55" s="73" t="s">
        <v>201</v>
      </c>
      <c r="CA55" s="73" t="s">
        <v>202</v>
      </c>
      <c r="CB55" s="73" t="s">
        <v>203</v>
      </c>
      <c r="CC55" s="73" t="s">
        <v>204</v>
      </c>
      <c r="CD55" s="73" t="s">
        <v>205</v>
      </c>
      <c r="CE55" s="73" t="s">
        <v>206</v>
      </c>
      <c r="CF55" s="73" t="s">
        <v>207</v>
      </c>
      <c r="CG55" s="73" t="s">
        <v>208</v>
      </c>
      <c r="CH55" s="73" t="s">
        <v>210</v>
      </c>
      <c r="CI55" s="73" t="s">
        <v>209</v>
      </c>
      <c r="CJ55" s="73" t="s">
        <v>211</v>
      </c>
      <c r="CK55" s="73" t="s">
        <v>212</v>
      </c>
      <c r="CL55" s="73" t="s">
        <v>213</v>
      </c>
      <c r="CM55" s="73" t="s">
        <v>214</v>
      </c>
      <c r="CN55" s="73" t="s">
        <v>215</v>
      </c>
      <c r="CO55" s="73" t="s">
        <v>216</v>
      </c>
      <c r="CP55" s="73" t="s">
        <v>217</v>
      </c>
      <c r="CQ55" s="73" t="s">
        <v>218</v>
      </c>
      <c r="CR55" s="73" t="s">
        <v>219</v>
      </c>
      <c r="CS55" s="73" t="s">
        <v>220</v>
      </c>
      <c r="CT55" s="73" t="s">
        <v>221</v>
      </c>
      <c r="CU55" s="73" t="s">
        <v>222</v>
      </c>
      <c r="CV55" s="73" t="s">
        <v>223</v>
      </c>
      <c r="CW55" s="73" t="s">
        <v>224</v>
      </c>
      <c r="CX55" s="73" t="s">
        <v>225</v>
      </c>
      <c r="CY55" s="73" t="s">
        <v>226</v>
      </c>
      <c r="CZ55" s="73" t="s">
        <v>227</v>
      </c>
      <c r="DA55" s="73" t="s">
        <v>228</v>
      </c>
      <c r="DB55" s="73" t="s">
        <v>229</v>
      </c>
      <c r="DC55" s="74" t="s">
        <v>230</v>
      </c>
    </row>
    <row r="56" spans="1:107">
      <c r="A56" s="57" t="s">
        <v>92</v>
      </c>
      <c r="B56" s="68">
        <v>13936246.47</v>
      </c>
      <c r="C56" s="68">
        <v>6488971.02</v>
      </c>
      <c r="D56" s="68">
        <v>1890112.13</v>
      </c>
      <c r="E56" s="68">
        <v>1163948.91</v>
      </c>
      <c r="F56" s="68">
        <v>663465.5</v>
      </c>
      <c r="G56" s="68">
        <v>781666.67</v>
      </c>
      <c r="H56" s="68">
        <v>0</v>
      </c>
      <c r="I56" s="68">
        <v>111804.48</v>
      </c>
      <c r="J56" s="68">
        <v>232689.85</v>
      </c>
      <c r="K56" s="68">
        <v>287746.54</v>
      </c>
      <c r="L56" s="68">
        <v>99197.96</v>
      </c>
      <c r="M56" s="68">
        <v>183615.82</v>
      </c>
      <c r="N56" s="68">
        <v>0</v>
      </c>
      <c r="O56" s="68">
        <v>17290.91</v>
      </c>
      <c r="P56" s="68">
        <v>151513.82</v>
      </c>
      <c r="Q56" s="68">
        <v>139578.83</v>
      </c>
      <c r="R56" s="68">
        <v>160952.53</v>
      </c>
      <c r="S56" s="68">
        <v>328266.47</v>
      </c>
      <c r="T56" s="68">
        <v>278936.53</v>
      </c>
      <c r="U56" s="68">
        <v>512844.76</v>
      </c>
      <c r="V56" s="68">
        <v>36980</v>
      </c>
      <c r="W56" s="68">
        <v>0</v>
      </c>
      <c r="X56" s="68">
        <v>64329.33</v>
      </c>
      <c r="Y56" s="68">
        <v>37329.33</v>
      </c>
      <c r="Z56" s="68">
        <v>350482.82</v>
      </c>
      <c r="AA56" s="68">
        <v>0</v>
      </c>
      <c r="AB56" s="68">
        <v>187082.19</v>
      </c>
      <c r="AC56" s="68">
        <v>254008.42</v>
      </c>
      <c r="AD56" s="68">
        <v>152641.16</v>
      </c>
      <c r="AE56" s="68">
        <v>118075.66</v>
      </c>
      <c r="AF56" s="68">
        <v>172745.05</v>
      </c>
      <c r="AG56" s="68">
        <v>470845.01</v>
      </c>
      <c r="AH56" s="68">
        <v>746247.61</v>
      </c>
      <c r="AI56" s="68">
        <v>500274.46</v>
      </c>
      <c r="AJ56" s="68">
        <v>399247.74</v>
      </c>
      <c r="AK56" s="68">
        <v>444427.83</v>
      </c>
      <c r="AL56" s="68">
        <v>164039.67</v>
      </c>
      <c r="AM56" s="68">
        <v>54998</v>
      </c>
      <c r="AN56" s="68">
        <v>7416</v>
      </c>
      <c r="AO56" s="68">
        <v>189522.95</v>
      </c>
      <c r="AP56" s="68">
        <v>236260.4</v>
      </c>
      <c r="AQ56" s="68">
        <v>136616.01</v>
      </c>
      <c r="AR56" s="68">
        <v>162797.84</v>
      </c>
      <c r="AS56" s="68">
        <v>185481.48</v>
      </c>
      <c r="AT56" s="68">
        <v>315755.2</v>
      </c>
      <c r="AU56" s="68">
        <v>307136.3</v>
      </c>
      <c r="AV56" s="68">
        <v>350803.48</v>
      </c>
      <c r="AW56" s="68">
        <v>255657.55</v>
      </c>
      <c r="AX56" s="68">
        <v>270084.82</v>
      </c>
      <c r="AY56" s="68">
        <v>245708.05</v>
      </c>
      <c r="AZ56" s="68">
        <v>119138.04</v>
      </c>
      <c r="BA56" s="68">
        <v>268572.52</v>
      </c>
      <c r="BB56" s="68">
        <v>105045</v>
      </c>
      <c r="BC56" s="68">
        <v>93536.37</v>
      </c>
      <c r="BD56" s="68">
        <v>285447.22</v>
      </c>
      <c r="BE56" s="68">
        <v>184943.85</v>
      </c>
      <c r="BF56" s="68">
        <v>243800.7</v>
      </c>
      <c r="BG56" s="68">
        <v>164282.58</v>
      </c>
      <c r="BH56" s="68">
        <v>112641.17</v>
      </c>
      <c r="BI56" s="68">
        <v>143724.56</v>
      </c>
      <c r="BJ56" s="68">
        <v>151365.8</v>
      </c>
      <c r="BK56" s="68">
        <v>121423.85</v>
      </c>
      <c r="BL56" s="68">
        <v>88119.45</v>
      </c>
      <c r="BM56" s="68">
        <v>102667.52</v>
      </c>
      <c r="BN56" s="68">
        <v>111613.45</v>
      </c>
      <c r="BO56" s="68">
        <v>141282.04</v>
      </c>
      <c r="BP56" s="68">
        <v>46258.73</v>
      </c>
      <c r="BQ56" s="68">
        <v>58110.65</v>
      </c>
      <c r="BR56" s="68">
        <v>37875.94</v>
      </c>
      <c r="BS56" s="68">
        <v>54080.01</v>
      </c>
      <c r="BT56" s="68">
        <v>56988.88</v>
      </c>
      <c r="BU56" s="68">
        <v>101835.69</v>
      </c>
      <c r="BV56" s="68">
        <v>44008.14</v>
      </c>
      <c r="BW56" s="68">
        <v>330971.74</v>
      </c>
      <c r="BX56" s="68">
        <v>13380</v>
      </c>
      <c r="BY56" s="68">
        <v>36805.52</v>
      </c>
      <c r="BZ56" s="68">
        <v>28202</v>
      </c>
      <c r="CA56" s="68">
        <v>23475.16</v>
      </c>
      <c r="CB56" s="68">
        <v>39185.7</v>
      </c>
      <c r="CC56" s="68">
        <v>89242.67</v>
      </c>
      <c r="CD56" s="68">
        <v>50172.4</v>
      </c>
      <c r="CE56" s="68">
        <v>23800.91</v>
      </c>
      <c r="CF56" s="68">
        <v>8000</v>
      </c>
      <c r="CG56" s="68">
        <v>14200</v>
      </c>
      <c r="CH56" s="68">
        <v>14420</v>
      </c>
      <c r="CI56" s="68">
        <v>4582.67</v>
      </c>
      <c r="CJ56" s="68">
        <v>30200</v>
      </c>
      <c r="CK56" s="68">
        <v>20369.65</v>
      </c>
      <c r="CL56" s="68">
        <v>14137.72</v>
      </c>
      <c r="CM56" s="68">
        <v>23751.56</v>
      </c>
      <c r="CN56" s="68">
        <v>8000</v>
      </c>
      <c r="CO56" s="68">
        <v>8000</v>
      </c>
      <c r="CP56" s="68">
        <v>9600</v>
      </c>
      <c r="CQ56" s="68">
        <v>17135.51</v>
      </c>
      <c r="CR56" s="68">
        <v>8000</v>
      </c>
      <c r="CS56" s="68">
        <v>14554</v>
      </c>
      <c r="CT56" s="68">
        <v>8000</v>
      </c>
      <c r="CU56" s="68">
        <v>13977.21</v>
      </c>
      <c r="CV56" s="68">
        <v>12815.17</v>
      </c>
      <c r="CW56" s="68">
        <v>8000</v>
      </c>
      <c r="CX56" s="68">
        <v>16572.64</v>
      </c>
      <c r="CY56" s="68">
        <v>17126.27</v>
      </c>
      <c r="CZ56" s="68">
        <v>8000</v>
      </c>
      <c r="DA56" s="68">
        <v>11760</v>
      </c>
      <c r="DB56" s="68">
        <v>13318</v>
      </c>
      <c r="DC56" s="77">
        <v>56628.28</v>
      </c>
    </row>
    <row r="57" spans="1:107">
      <c r="A57" s="57" t="s">
        <v>93</v>
      </c>
      <c r="B57" s="68">
        <v>169953.53</v>
      </c>
      <c r="C57" s="68">
        <v>44244.42</v>
      </c>
      <c r="D57" s="68">
        <v>35637.8</v>
      </c>
      <c r="E57" s="68">
        <v>1470</v>
      </c>
      <c r="F57" s="68">
        <v>884.11</v>
      </c>
      <c r="G57" s="68">
        <v>0</v>
      </c>
      <c r="H57" s="68">
        <v>0</v>
      </c>
      <c r="I57" s="68">
        <v>2695</v>
      </c>
      <c r="J57" s="68">
        <v>14420</v>
      </c>
      <c r="K57" s="68">
        <v>10185</v>
      </c>
      <c r="L57" s="68">
        <v>2695</v>
      </c>
      <c r="M57" s="68">
        <v>5913</v>
      </c>
      <c r="N57" s="68">
        <v>0</v>
      </c>
      <c r="O57" s="68">
        <v>490</v>
      </c>
      <c r="P57" s="68">
        <v>6335</v>
      </c>
      <c r="Q57" s="68">
        <v>5040</v>
      </c>
      <c r="R57" s="68">
        <v>2730</v>
      </c>
      <c r="S57" s="68">
        <v>10193</v>
      </c>
      <c r="T57" s="68">
        <v>9765</v>
      </c>
      <c r="U57" s="68">
        <v>1897</v>
      </c>
      <c r="V57" s="68">
        <v>0</v>
      </c>
      <c r="W57" s="68">
        <v>0</v>
      </c>
      <c r="X57" s="68">
        <v>0</v>
      </c>
      <c r="Y57" s="68">
        <v>0</v>
      </c>
      <c r="Z57" s="68">
        <v>70</v>
      </c>
      <c r="AA57" s="68">
        <v>0</v>
      </c>
      <c r="AB57" s="68">
        <v>1400</v>
      </c>
      <c r="AC57" s="68">
        <v>0</v>
      </c>
      <c r="AD57" s="68">
        <v>0</v>
      </c>
      <c r="AE57" s="68">
        <v>0</v>
      </c>
      <c r="AF57" s="68">
        <v>6685</v>
      </c>
      <c r="AG57" s="68">
        <v>8088</v>
      </c>
      <c r="AH57" s="68">
        <v>4865</v>
      </c>
      <c r="AI57" s="68">
        <v>15999.8</v>
      </c>
      <c r="AJ57" s="68">
        <v>15260</v>
      </c>
      <c r="AK57" s="68">
        <v>398.21</v>
      </c>
      <c r="AL57" s="68">
        <v>485.9</v>
      </c>
      <c r="AM57" s="68">
        <v>0</v>
      </c>
      <c r="AN57" s="68">
        <v>99.2</v>
      </c>
      <c r="AO57" s="68">
        <v>1890</v>
      </c>
      <c r="AP57" s="68">
        <v>10150</v>
      </c>
      <c r="AQ57" s="68">
        <v>4305</v>
      </c>
      <c r="AR57" s="68">
        <v>4445</v>
      </c>
      <c r="AS57" s="68">
        <v>7630</v>
      </c>
      <c r="AT57" s="68">
        <v>0</v>
      </c>
      <c r="AU57" s="68">
        <v>-454.93</v>
      </c>
      <c r="AV57" s="68">
        <v>0</v>
      </c>
      <c r="AW57" s="68">
        <v>-221.93</v>
      </c>
      <c r="AX57" s="68">
        <v>0</v>
      </c>
      <c r="AY57" s="68">
        <v>0</v>
      </c>
      <c r="AZ57" s="68">
        <v>0</v>
      </c>
      <c r="BA57" s="68">
        <v>0</v>
      </c>
      <c r="BB57" s="68">
        <v>0</v>
      </c>
      <c r="BC57" s="68">
        <v>0</v>
      </c>
      <c r="BD57" s="68">
        <v>91</v>
      </c>
      <c r="BE57" s="68">
        <v>0</v>
      </c>
      <c r="BF57" s="68">
        <v>941.8</v>
      </c>
      <c r="BG57" s="68">
        <v>0</v>
      </c>
      <c r="BH57" s="68">
        <v>0</v>
      </c>
      <c r="BI57" s="68">
        <v>0</v>
      </c>
      <c r="BJ57" s="68">
        <v>0</v>
      </c>
      <c r="BK57" s="68">
        <v>-1075.96</v>
      </c>
      <c r="BL57" s="68">
        <v>0</v>
      </c>
      <c r="BM57" s="68">
        <v>0</v>
      </c>
      <c r="BN57" s="68">
        <v>0</v>
      </c>
      <c r="BO57" s="68">
        <v>0</v>
      </c>
      <c r="BP57" s="68">
        <v>0</v>
      </c>
      <c r="BQ57" s="68">
        <v>0</v>
      </c>
      <c r="BR57" s="68">
        <v>0</v>
      </c>
      <c r="BS57" s="68">
        <v>0</v>
      </c>
      <c r="BT57" s="68">
        <v>0</v>
      </c>
      <c r="BU57" s="68">
        <v>10000</v>
      </c>
      <c r="BV57" s="68">
        <v>0</v>
      </c>
      <c r="BW57" s="68">
        <v>4795</v>
      </c>
      <c r="BX57" s="68">
        <v>0</v>
      </c>
      <c r="BY57" s="68">
        <v>0</v>
      </c>
      <c r="BZ57" s="68">
        <v>0</v>
      </c>
      <c r="CA57" s="68">
        <v>0</v>
      </c>
      <c r="CB57" s="68">
        <v>-1075.96</v>
      </c>
      <c r="CC57" s="68">
        <v>0</v>
      </c>
      <c r="CD57" s="68">
        <v>0</v>
      </c>
      <c r="CE57" s="68">
        <v>0</v>
      </c>
      <c r="CF57" s="68">
        <v>0</v>
      </c>
      <c r="CG57" s="68">
        <v>0</v>
      </c>
      <c r="CH57" s="68">
        <v>0</v>
      </c>
      <c r="CI57" s="68">
        <v>0</v>
      </c>
      <c r="CJ57" s="68">
        <v>0</v>
      </c>
      <c r="CK57" s="68">
        <v>0</v>
      </c>
      <c r="CL57" s="68">
        <v>0</v>
      </c>
      <c r="CM57" s="68">
        <v>0</v>
      </c>
      <c r="CN57" s="68">
        <v>0</v>
      </c>
      <c r="CO57" s="68">
        <v>0</v>
      </c>
      <c r="CP57" s="68">
        <v>0</v>
      </c>
      <c r="CQ57" s="68">
        <v>0</v>
      </c>
      <c r="CR57" s="68">
        <v>0</v>
      </c>
      <c r="CS57" s="68">
        <v>0</v>
      </c>
      <c r="CT57" s="68">
        <v>0</v>
      </c>
      <c r="CU57" s="68">
        <v>0</v>
      </c>
      <c r="CV57" s="68">
        <v>0</v>
      </c>
      <c r="CW57" s="68">
        <v>0</v>
      </c>
      <c r="CX57" s="68">
        <v>0</v>
      </c>
      <c r="CY57" s="68">
        <v>0</v>
      </c>
      <c r="CZ57" s="68">
        <v>0</v>
      </c>
      <c r="DA57" s="68">
        <v>1883.6</v>
      </c>
      <c r="DB57" s="68">
        <v>0</v>
      </c>
      <c r="DC57" s="77">
        <v>941.8</v>
      </c>
    </row>
    <row r="58" spans="1:107">
      <c r="A58" s="57" t="s">
        <v>94</v>
      </c>
      <c r="B58" s="68">
        <v>583216.7</v>
      </c>
      <c r="C58" s="68">
        <v>213537.37</v>
      </c>
      <c r="D58" s="68">
        <v>121157.98</v>
      </c>
      <c r="E58" s="68">
        <v>21827.21</v>
      </c>
      <c r="F58" s="68">
        <v>15058.27</v>
      </c>
      <c r="G58" s="68">
        <v>15641.73</v>
      </c>
      <c r="H58" s="68">
        <v>136601.49</v>
      </c>
      <c r="I58" s="68">
        <v>2252.89</v>
      </c>
      <c r="J58" s="68">
        <v>4731.59</v>
      </c>
      <c r="K58" s="68">
        <v>5754.93</v>
      </c>
      <c r="L58" s="68">
        <v>1983.96</v>
      </c>
      <c r="M58" s="68">
        <v>3672.32</v>
      </c>
      <c r="N58" s="68">
        <v>0</v>
      </c>
      <c r="O58" s="68">
        <v>345.82</v>
      </c>
      <c r="P58" s="68">
        <v>3030.28</v>
      </c>
      <c r="Q58" s="68">
        <v>2791.58</v>
      </c>
      <c r="R58" s="68">
        <v>3219.05</v>
      </c>
      <c r="S58" s="68">
        <v>6573.73</v>
      </c>
      <c r="T58" s="68">
        <v>5578.73</v>
      </c>
      <c r="U58" s="68">
        <v>10542.9</v>
      </c>
      <c r="V58" s="68">
        <v>748</v>
      </c>
      <c r="W58" s="68">
        <v>0</v>
      </c>
      <c r="X58" s="68">
        <v>1286.59</v>
      </c>
      <c r="Y58" s="68">
        <v>746.59</v>
      </c>
      <c r="Z58" s="68">
        <v>7009.66</v>
      </c>
      <c r="AA58" s="68">
        <v>0</v>
      </c>
      <c r="AB58" s="68">
        <v>3741.63</v>
      </c>
      <c r="AC58" s="68">
        <v>3628.41</v>
      </c>
      <c r="AD58" s="68">
        <v>3052.82</v>
      </c>
      <c r="AE58" s="68">
        <v>2361.51</v>
      </c>
      <c r="AF58" s="68">
        <v>3454.9</v>
      </c>
      <c r="AG58" s="68">
        <v>80938.9</v>
      </c>
      <c r="AH58" s="68">
        <v>14924.95</v>
      </c>
      <c r="AI58" s="68">
        <v>21839.23</v>
      </c>
      <c r="AJ58" s="68">
        <v>8010.15</v>
      </c>
      <c r="AK58" s="68">
        <v>10576.72</v>
      </c>
      <c r="AL58" s="68">
        <v>3339.59</v>
      </c>
      <c r="AM58" s="68">
        <v>1141.96</v>
      </c>
      <c r="AN58" s="68">
        <v>156.72</v>
      </c>
      <c r="AO58" s="68">
        <v>4205.96</v>
      </c>
      <c r="AP58" s="68">
        <v>4725.21</v>
      </c>
      <c r="AQ58" s="68">
        <v>2740.72</v>
      </c>
      <c r="AR58" s="68">
        <v>3255.96</v>
      </c>
      <c r="AS58" s="68">
        <v>3709.63</v>
      </c>
      <c r="AT58" s="68">
        <v>9371.66</v>
      </c>
      <c r="AU58" s="68">
        <v>11988.18</v>
      </c>
      <c r="AV58" s="68">
        <v>14317.79</v>
      </c>
      <c r="AW58" s="68">
        <v>8410.57</v>
      </c>
      <c r="AX58" s="68">
        <v>10552.76</v>
      </c>
      <c r="AY58" s="68">
        <v>8287.53</v>
      </c>
      <c r="AZ58" s="68">
        <v>4328.57</v>
      </c>
      <c r="BA58" s="68">
        <v>12102.01</v>
      </c>
      <c r="BB58" s="68">
        <v>3260.43</v>
      </c>
      <c r="BC58" s="68">
        <v>2311.42</v>
      </c>
      <c r="BD58" s="68">
        <v>9996.08</v>
      </c>
      <c r="BE58" s="68">
        <v>7547.63</v>
      </c>
      <c r="BF58" s="68">
        <v>7400.68</v>
      </c>
      <c r="BG58" s="68">
        <v>4566.14</v>
      </c>
      <c r="BH58" s="68">
        <v>3457.57</v>
      </c>
      <c r="BI58" s="68">
        <v>4284.78</v>
      </c>
      <c r="BJ58" s="68">
        <v>5792.71</v>
      </c>
      <c r="BK58" s="68">
        <v>4162.65</v>
      </c>
      <c r="BL58" s="68">
        <v>3129.23</v>
      </c>
      <c r="BM58" s="68">
        <v>3533.11</v>
      </c>
      <c r="BN58" s="68">
        <v>5026.63</v>
      </c>
      <c r="BO58" s="68">
        <v>4451.17</v>
      </c>
      <c r="BP58" s="68">
        <v>1869.05</v>
      </c>
      <c r="BQ58" s="68">
        <v>1754.9</v>
      </c>
      <c r="BR58" s="68">
        <v>853.72</v>
      </c>
      <c r="BS58" s="68">
        <v>2050.51</v>
      </c>
      <c r="BT58" s="68">
        <v>2105.6</v>
      </c>
      <c r="BU58" s="68">
        <v>3362.57</v>
      </c>
      <c r="BV58" s="68">
        <v>2337.49</v>
      </c>
      <c r="BW58" s="68">
        <v>11327.26</v>
      </c>
      <c r="BX58" s="68">
        <v>697.75</v>
      </c>
      <c r="BY58" s="68">
        <v>1981.39</v>
      </c>
      <c r="BZ58" s="68">
        <v>1062.86</v>
      </c>
      <c r="CA58" s="68">
        <v>1203.18</v>
      </c>
      <c r="CB58" s="68">
        <v>1115.22</v>
      </c>
      <c r="CC58" s="68">
        <v>3799.05</v>
      </c>
      <c r="CD58" s="68">
        <v>1579.75</v>
      </c>
      <c r="CE58" s="68">
        <v>501.15</v>
      </c>
      <c r="CF58" s="68">
        <v>190.73</v>
      </c>
      <c r="CG58" s="68">
        <v>538.55</v>
      </c>
      <c r="CH58" s="68">
        <v>386.14</v>
      </c>
      <c r="CI58" s="68">
        <v>106.94</v>
      </c>
      <c r="CJ58" s="68">
        <v>620.8</v>
      </c>
      <c r="CK58" s="68">
        <v>491.63</v>
      </c>
      <c r="CL58" s="68">
        <v>367.23</v>
      </c>
      <c r="CM58" s="68">
        <v>758.04</v>
      </c>
      <c r="CN58" s="68">
        <v>245.4</v>
      </c>
      <c r="CO58" s="68">
        <v>174.48</v>
      </c>
      <c r="CP58" s="68">
        <v>315.63</v>
      </c>
      <c r="CQ58" s="68">
        <v>519.91</v>
      </c>
      <c r="CR58" s="68">
        <v>203.08</v>
      </c>
      <c r="CS58" s="68">
        <v>353.82</v>
      </c>
      <c r="CT58" s="68">
        <v>239.71</v>
      </c>
      <c r="CU58" s="68">
        <v>326.31</v>
      </c>
      <c r="CV58" s="68">
        <v>348.58</v>
      </c>
      <c r="CW58" s="68">
        <v>168.4</v>
      </c>
      <c r="CX58" s="68">
        <v>349.85</v>
      </c>
      <c r="CY58" s="68">
        <v>392.1</v>
      </c>
      <c r="CZ58" s="68">
        <v>172.27</v>
      </c>
      <c r="DA58" s="68">
        <v>243.6</v>
      </c>
      <c r="DB58" s="68">
        <v>339.77</v>
      </c>
      <c r="DC58" s="77">
        <v>1166.17</v>
      </c>
    </row>
    <row r="59" spans="1:107">
      <c r="A59" s="57" t="s">
        <v>95</v>
      </c>
      <c r="B59" s="68">
        <v>50700.63</v>
      </c>
      <c r="C59" s="68">
        <v>50700.63</v>
      </c>
      <c r="D59" s="68">
        <v>0</v>
      </c>
      <c r="E59" s="68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68">
        <v>0</v>
      </c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8">
        <v>0</v>
      </c>
      <c r="AQ59" s="68">
        <v>0</v>
      </c>
      <c r="AR59" s="68">
        <v>0</v>
      </c>
      <c r="AS59" s="68">
        <v>0</v>
      </c>
      <c r="AT59" s="68">
        <v>0</v>
      </c>
      <c r="AU59" s="68">
        <v>0</v>
      </c>
      <c r="AV59" s="68">
        <v>0</v>
      </c>
      <c r="AW59" s="68">
        <v>0</v>
      </c>
      <c r="AX59" s="68">
        <v>0</v>
      </c>
      <c r="AY59" s="68">
        <v>0</v>
      </c>
      <c r="AZ59" s="68">
        <v>0</v>
      </c>
      <c r="BA59" s="68">
        <v>0</v>
      </c>
      <c r="BB59" s="68">
        <v>1904</v>
      </c>
      <c r="BC59" s="68">
        <v>1149.9</v>
      </c>
      <c r="BD59" s="68">
        <v>0</v>
      </c>
      <c r="BE59" s="68">
        <v>7401</v>
      </c>
      <c r="BF59" s="68">
        <v>0</v>
      </c>
      <c r="BG59" s="68">
        <v>0</v>
      </c>
      <c r="BH59" s="68">
        <v>11655</v>
      </c>
      <c r="BI59" s="68">
        <v>2247</v>
      </c>
      <c r="BJ59" s="68">
        <v>0</v>
      </c>
      <c r="BK59" s="68">
        <v>4066</v>
      </c>
      <c r="BL59" s="68">
        <v>0</v>
      </c>
      <c r="BM59" s="68">
        <v>0</v>
      </c>
      <c r="BN59" s="68">
        <v>4380</v>
      </c>
      <c r="BO59" s="68">
        <v>0</v>
      </c>
      <c r="BP59" s="68">
        <v>0</v>
      </c>
      <c r="BQ59" s="68">
        <v>0</v>
      </c>
      <c r="BR59" s="68">
        <v>834</v>
      </c>
      <c r="BS59" s="68">
        <v>0</v>
      </c>
      <c r="BT59" s="68">
        <v>0</v>
      </c>
      <c r="BU59" s="68">
        <v>2316</v>
      </c>
      <c r="BV59" s="68">
        <v>0</v>
      </c>
      <c r="BW59" s="68">
        <v>8642.8</v>
      </c>
      <c r="BX59" s="68">
        <v>0</v>
      </c>
      <c r="BY59" s="68">
        <v>0</v>
      </c>
      <c r="BZ59" s="68">
        <v>0</v>
      </c>
      <c r="CA59" s="68">
        <v>0</v>
      </c>
      <c r="CB59" s="68">
        <v>0</v>
      </c>
      <c r="CC59" s="68">
        <v>2264.5</v>
      </c>
      <c r="CD59" s="68">
        <v>0</v>
      </c>
      <c r="CE59" s="68">
        <v>109</v>
      </c>
      <c r="CF59" s="68">
        <v>0</v>
      </c>
      <c r="CG59" s="68">
        <v>0</v>
      </c>
      <c r="CH59" s="68">
        <v>0</v>
      </c>
      <c r="CI59" s="68">
        <v>1379.14</v>
      </c>
      <c r="CJ59" s="68">
        <v>0</v>
      </c>
      <c r="CK59" s="68">
        <v>0</v>
      </c>
      <c r="CL59" s="68">
        <v>514.29</v>
      </c>
      <c r="CM59" s="68">
        <v>200</v>
      </c>
      <c r="CN59" s="68">
        <v>0</v>
      </c>
      <c r="CO59" s="68">
        <v>0</v>
      </c>
      <c r="CP59" s="68">
        <v>0</v>
      </c>
      <c r="CQ59" s="68">
        <v>0</v>
      </c>
      <c r="CR59" s="68">
        <v>0</v>
      </c>
      <c r="CS59" s="68">
        <v>900</v>
      </c>
      <c r="CT59" s="68">
        <v>0</v>
      </c>
      <c r="CU59" s="68">
        <v>0</v>
      </c>
      <c r="CV59" s="68">
        <v>0</v>
      </c>
      <c r="CW59" s="68">
        <v>0</v>
      </c>
      <c r="CX59" s="68">
        <v>238</v>
      </c>
      <c r="CY59" s="68">
        <v>500</v>
      </c>
      <c r="CZ59" s="68">
        <v>0</v>
      </c>
      <c r="DA59" s="68">
        <v>0</v>
      </c>
      <c r="DB59" s="68">
        <v>0</v>
      </c>
      <c r="DC59" s="77">
        <v>0</v>
      </c>
    </row>
    <row r="60" spans="1:107">
      <c r="A60" s="57" t="s">
        <v>96</v>
      </c>
      <c r="B60" s="68">
        <v>3211228.13</v>
      </c>
      <c r="C60" s="68">
        <v>1601395.6</v>
      </c>
      <c r="D60" s="68">
        <v>385850.58</v>
      </c>
      <c r="E60" s="68">
        <v>248789.95</v>
      </c>
      <c r="F60" s="68">
        <v>197625.56</v>
      </c>
      <c r="G60" s="68">
        <v>63461.2</v>
      </c>
      <c r="H60" s="68">
        <v>0</v>
      </c>
      <c r="I60" s="68">
        <v>25594.54</v>
      </c>
      <c r="J60" s="68">
        <v>61598.22</v>
      </c>
      <c r="K60" s="68">
        <v>68973.6</v>
      </c>
      <c r="L60" s="68">
        <v>20083.52</v>
      </c>
      <c r="M60" s="68">
        <v>37949.79</v>
      </c>
      <c r="N60" s="68">
        <v>0</v>
      </c>
      <c r="O60" s="68">
        <v>5223.64</v>
      </c>
      <c r="P60" s="68">
        <v>35326.06</v>
      </c>
      <c r="Q60" s="68">
        <v>28561.74</v>
      </c>
      <c r="R60" s="68">
        <v>32086.2</v>
      </c>
      <c r="S60" s="68">
        <v>87358.15</v>
      </c>
      <c r="T60" s="68">
        <v>79199.25</v>
      </c>
      <c r="U60" s="68">
        <v>115407.28</v>
      </c>
      <c r="V60" s="68">
        <v>6256.22</v>
      </c>
      <c r="W60" s="68">
        <v>0</v>
      </c>
      <c r="X60" s="68">
        <v>21546.07</v>
      </c>
      <c r="Y60" s="68">
        <v>0</v>
      </c>
      <c r="Z60" s="68">
        <v>71045.91</v>
      </c>
      <c r="AA60" s="68">
        <v>0</v>
      </c>
      <c r="AB60" s="68">
        <v>67925.7</v>
      </c>
      <c r="AC60" s="68">
        <v>54565.24</v>
      </c>
      <c r="AD60" s="68">
        <v>33422.03</v>
      </c>
      <c r="AE60" s="68">
        <v>285</v>
      </c>
      <c r="AF60" s="68">
        <v>36808.01</v>
      </c>
      <c r="AG60" s="68">
        <v>129504.38</v>
      </c>
      <c r="AH60" s="68">
        <v>82079.97</v>
      </c>
      <c r="AI60" s="68">
        <v>137458.22</v>
      </c>
      <c r="AJ60" s="68">
        <v>109081.99</v>
      </c>
      <c r="AK60" s="68">
        <v>146750.07</v>
      </c>
      <c r="AL60" s="68">
        <v>32458.4</v>
      </c>
      <c r="AM60" s="68">
        <v>18417.09</v>
      </c>
      <c r="AN60" s="68">
        <v>1405.04</v>
      </c>
      <c r="AO60" s="68">
        <v>17553.8</v>
      </c>
      <c r="AP60" s="68">
        <v>51542.84</v>
      </c>
      <c r="AQ60" s="68">
        <v>35293.9</v>
      </c>
      <c r="AR60" s="68">
        <v>34772.98</v>
      </c>
      <c r="AS60" s="68">
        <v>42487.56</v>
      </c>
      <c r="AT60" s="68">
        <v>74237.64</v>
      </c>
      <c r="AU60" s="68">
        <v>79789.22</v>
      </c>
      <c r="AV60" s="68">
        <v>57205.03</v>
      </c>
      <c r="AW60" s="68">
        <v>66076.34</v>
      </c>
      <c r="AX60" s="68">
        <v>74525.73</v>
      </c>
      <c r="AY60" s="68">
        <v>67589.35</v>
      </c>
      <c r="AZ60" s="68">
        <v>6285.69</v>
      </c>
      <c r="BA60" s="68">
        <v>61413.32</v>
      </c>
      <c r="BB60" s="68">
        <v>40429.27</v>
      </c>
      <c r="BC60" s="68">
        <v>32504.61</v>
      </c>
      <c r="BD60" s="68">
        <v>111087.07</v>
      </c>
      <c r="BE60" s="68">
        <v>50228.66</v>
      </c>
      <c r="BF60" s="68">
        <v>62162.04</v>
      </c>
      <c r="BG60" s="68">
        <v>47392.36</v>
      </c>
      <c r="BH60" s="68">
        <v>37281.82</v>
      </c>
      <c r="BI60" s="68">
        <v>1606.1</v>
      </c>
      <c r="BJ60" s="68">
        <v>27126.25</v>
      </c>
      <c r="BK60" s="68">
        <v>31549.15</v>
      </c>
      <c r="BL60" s="68">
        <v>28577.04</v>
      </c>
      <c r="BM60" s="68">
        <v>2190.75</v>
      </c>
      <c r="BN60" s="68">
        <v>32666.02</v>
      </c>
      <c r="BO60" s="68">
        <v>46602.29</v>
      </c>
      <c r="BP60" s="68">
        <v>11010.79</v>
      </c>
      <c r="BQ60" s="68">
        <v>3781.56</v>
      </c>
      <c r="BR60" s="68">
        <v>7249.07</v>
      </c>
      <c r="BS60" s="68">
        <v>17595.97</v>
      </c>
      <c r="BT60" s="68">
        <v>11704.31</v>
      </c>
      <c r="BU60" s="68">
        <v>23666.45</v>
      </c>
      <c r="BV60" s="68">
        <v>12422.56</v>
      </c>
      <c r="BW60" s="68">
        <v>117732.61</v>
      </c>
      <c r="BX60" s="68">
        <v>4073.06</v>
      </c>
      <c r="BY60" s="68">
        <v>11131.31</v>
      </c>
      <c r="BZ60" s="68">
        <v>6589.37</v>
      </c>
      <c r="CA60" s="68">
        <v>7014.78</v>
      </c>
      <c r="CB60" s="68">
        <v>13066.15</v>
      </c>
      <c r="CC60" s="68">
        <v>40180.16</v>
      </c>
      <c r="CD60" s="68">
        <v>14236.2</v>
      </c>
      <c r="CE60" s="68">
        <v>5158.05</v>
      </c>
      <c r="CF60" s="68">
        <v>1216.9</v>
      </c>
      <c r="CG60" s="68">
        <v>3871.36</v>
      </c>
      <c r="CH60" s="68">
        <v>990.5</v>
      </c>
      <c r="CI60" s="68">
        <v>2062.1</v>
      </c>
      <c r="CJ60" s="68">
        <v>3467.64</v>
      </c>
      <c r="CK60" s="68">
        <v>1903.7</v>
      </c>
      <c r="CL60" s="68">
        <v>3311.1</v>
      </c>
      <c r="CM60" s="68">
        <v>2536.95</v>
      </c>
      <c r="CN60" s="68">
        <v>1604.94</v>
      </c>
      <c r="CO60" s="68">
        <v>0</v>
      </c>
      <c r="CP60" s="68">
        <v>3026</v>
      </c>
      <c r="CQ60" s="68">
        <v>221.93</v>
      </c>
      <c r="CR60" s="68">
        <v>2399.02</v>
      </c>
      <c r="CS60" s="68">
        <v>4119.16</v>
      </c>
      <c r="CT60" s="68">
        <v>2336.68</v>
      </c>
      <c r="CU60" s="68">
        <v>2566.1</v>
      </c>
      <c r="CV60" s="68">
        <v>2264</v>
      </c>
      <c r="CW60" s="68">
        <v>0</v>
      </c>
      <c r="CX60" s="68">
        <v>6484.8</v>
      </c>
      <c r="CY60" s="68">
        <v>2771.16</v>
      </c>
      <c r="CZ60" s="68">
        <v>1599.22</v>
      </c>
      <c r="DA60" s="68">
        <v>6072.53</v>
      </c>
      <c r="DB60" s="68">
        <v>2539.11</v>
      </c>
      <c r="DC60" s="77">
        <v>17241.47</v>
      </c>
    </row>
    <row r="61" spans="1:107">
      <c r="A61" s="57" t="s">
        <v>97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68">
        <v>0</v>
      </c>
      <c r="AD61" s="68">
        <v>0</v>
      </c>
      <c r="AE61" s="68">
        <v>0</v>
      </c>
      <c r="AF61" s="68">
        <v>0</v>
      </c>
      <c r="AG61" s="68">
        <v>0</v>
      </c>
      <c r="AH61" s="68">
        <v>0</v>
      </c>
      <c r="AI61" s="68">
        <v>0</v>
      </c>
      <c r="AJ61" s="68">
        <v>0</v>
      </c>
      <c r="AK61" s="68">
        <v>0</v>
      </c>
      <c r="AL61" s="68">
        <v>0</v>
      </c>
      <c r="AM61" s="68">
        <v>0</v>
      </c>
      <c r="AN61" s="68">
        <v>0</v>
      </c>
      <c r="AO61" s="68">
        <v>0</v>
      </c>
      <c r="AP61" s="68">
        <v>0</v>
      </c>
      <c r="AQ61" s="68">
        <v>0</v>
      </c>
      <c r="AR61" s="68">
        <v>0</v>
      </c>
      <c r="AS61" s="68">
        <v>0</v>
      </c>
      <c r="AT61" s="68">
        <v>0</v>
      </c>
      <c r="AU61" s="68">
        <v>0</v>
      </c>
      <c r="AV61" s="68">
        <v>0</v>
      </c>
      <c r="AW61" s="68">
        <v>0</v>
      </c>
      <c r="AX61" s="68">
        <v>0</v>
      </c>
      <c r="AY61" s="68">
        <v>0</v>
      </c>
      <c r="AZ61" s="68">
        <v>0</v>
      </c>
      <c r="BA61" s="68">
        <v>0</v>
      </c>
      <c r="BB61" s="68">
        <v>0</v>
      </c>
      <c r="BC61" s="68">
        <v>0</v>
      </c>
      <c r="BD61" s="68">
        <v>0</v>
      </c>
      <c r="BE61" s="68">
        <v>0</v>
      </c>
      <c r="BF61" s="68">
        <v>0</v>
      </c>
      <c r="BG61" s="68">
        <v>0</v>
      </c>
      <c r="BH61" s="68">
        <v>0</v>
      </c>
      <c r="BI61" s="68">
        <v>0</v>
      </c>
      <c r="BJ61" s="68">
        <v>0</v>
      </c>
      <c r="BK61" s="68">
        <v>0</v>
      </c>
      <c r="BL61" s="68">
        <v>0</v>
      </c>
      <c r="BM61" s="68">
        <v>0</v>
      </c>
      <c r="BN61" s="68">
        <v>0</v>
      </c>
      <c r="BO61" s="68">
        <v>0</v>
      </c>
      <c r="BP61" s="68">
        <v>0</v>
      </c>
      <c r="BQ61" s="68">
        <v>0</v>
      </c>
      <c r="BR61" s="68">
        <v>0</v>
      </c>
      <c r="BS61" s="68">
        <v>0</v>
      </c>
      <c r="BT61" s="68">
        <v>0</v>
      </c>
      <c r="BU61" s="68">
        <v>0</v>
      </c>
      <c r="BV61" s="68">
        <v>0</v>
      </c>
      <c r="BW61" s="68">
        <v>0</v>
      </c>
      <c r="BX61" s="68">
        <v>0</v>
      </c>
      <c r="BY61" s="68">
        <v>0</v>
      </c>
      <c r="BZ61" s="68">
        <v>0</v>
      </c>
      <c r="CA61" s="68">
        <v>0</v>
      </c>
      <c r="CB61" s="68">
        <v>0</v>
      </c>
      <c r="CC61" s="68">
        <v>0</v>
      </c>
      <c r="CD61" s="68">
        <v>0</v>
      </c>
      <c r="CE61" s="68">
        <v>0</v>
      </c>
      <c r="CF61" s="68">
        <v>0</v>
      </c>
      <c r="CG61" s="68">
        <v>0</v>
      </c>
      <c r="CH61" s="68">
        <v>0</v>
      </c>
      <c r="CI61" s="68">
        <v>0</v>
      </c>
      <c r="CJ61" s="68">
        <v>0</v>
      </c>
      <c r="CK61" s="68">
        <v>0</v>
      </c>
      <c r="CL61" s="68">
        <v>0</v>
      </c>
      <c r="CM61" s="68">
        <v>0</v>
      </c>
      <c r="CN61" s="68">
        <v>0</v>
      </c>
      <c r="CO61" s="68">
        <v>0</v>
      </c>
      <c r="CP61" s="68">
        <v>0</v>
      </c>
      <c r="CQ61" s="68">
        <v>0</v>
      </c>
      <c r="CR61" s="68">
        <v>0</v>
      </c>
      <c r="CS61" s="68">
        <v>0</v>
      </c>
      <c r="CT61" s="68">
        <v>0</v>
      </c>
      <c r="CU61" s="68">
        <v>0</v>
      </c>
      <c r="CV61" s="68">
        <v>0</v>
      </c>
      <c r="CW61" s="68">
        <v>0</v>
      </c>
      <c r="CX61" s="68">
        <v>0</v>
      </c>
      <c r="CY61" s="68">
        <v>0</v>
      </c>
      <c r="CZ61" s="68">
        <v>0</v>
      </c>
      <c r="DA61" s="68">
        <v>0</v>
      </c>
      <c r="DB61" s="68">
        <v>0</v>
      </c>
      <c r="DC61" s="77">
        <v>0</v>
      </c>
    </row>
    <row r="62" spans="1:107">
      <c r="A62" s="57" t="s">
        <v>98</v>
      </c>
      <c r="B62" s="68">
        <v>-2433</v>
      </c>
      <c r="C62" s="68">
        <v>-1216.5</v>
      </c>
      <c r="D62" s="68">
        <v>0</v>
      </c>
      <c r="E62" s="68">
        <v>-1216.5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68">
        <v>0</v>
      </c>
      <c r="AD62" s="68">
        <v>-1216.5</v>
      </c>
      <c r="AE62" s="68">
        <v>0</v>
      </c>
      <c r="AF62" s="68">
        <v>0</v>
      </c>
      <c r="AG62" s="68">
        <v>0</v>
      </c>
      <c r="AH62" s="68">
        <v>0</v>
      </c>
      <c r="AI62" s="68">
        <v>0</v>
      </c>
      <c r="AJ62" s="68">
        <v>0</v>
      </c>
      <c r="AK62" s="68">
        <v>0</v>
      </c>
      <c r="AL62" s="68">
        <v>0</v>
      </c>
      <c r="AM62" s="68">
        <v>0</v>
      </c>
      <c r="AN62" s="68">
        <v>0</v>
      </c>
      <c r="AO62" s="68">
        <v>0</v>
      </c>
      <c r="AP62" s="68">
        <v>0</v>
      </c>
      <c r="AQ62" s="68">
        <v>0</v>
      </c>
      <c r="AR62" s="68">
        <v>-1216.5</v>
      </c>
      <c r="AS62" s="68">
        <v>0</v>
      </c>
      <c r="AT62" s="68">
        <v>0</v>
      </c>
      <c r="AU62" s="68">
        <v>0</v>
      </c>
      <c r="AV62" s="68">
        <v>0</v>
      </c>
      <c r="AW62" s="68">
        <v>0</v>
      </c>
      <c r="AX62" s="68">
        <v>0</v>
      </c>
      <c r="AY62" s="68">
        <v>0</v>
      </c>
      <c r="AZ62" s="68">
        <v>0</v>
      </c>
      <c r="BA62" s="68">
        <v>0</v>
      </c>
      <c r="BB62" s="68">
        <v>0</v>
      </c>
      <c r="BC62" s="68">
        <v>0</v>
      </c>
      <c r="BD62" s="68">
        <v>0</v>
      </c>
      <c r="BE62" s="68">
        <v>0</v>
      </c>
      <c r="BF62" s="68">
        <v>0</v>
      </c>
      <c r="BG62" s="68">
        <v>0</v>
      </c>
      <c r="BH62" s="68">
        <v>0</v>
      </c>
      <c r="BI62" s="68">
        <v>0</v>
      </c>
      <c r="BJ62" s="68">
        <v>0</v>
      </c>
      <c r="BK62" s="68">
        <v>0</v>
      </c>
      <c r="BL62" s="68">
        <v>0</v>
      </c>
      <c r="BM62" s="68">
        <v>0</v>
      </c>
      <c r="BN62" s="68">
        <v>0</v>
      </c>
      <c r="BO62" s="68">
        <v>0</v>
      </c>
      <c r="BP62" s="68">
        <v>0</v>
      </c>
      <c r="BQ62" s="68">
        <v>0</v>
      </c>
      <c r="BR62" s="68">
        <v>0</v>
      </c>
      <c r="BS62" s="68">
        <v>0</v>
      </c>
      <c r="BT62" s="68">
        <v>0</v>
      </c>
      <c r="BU62" s="68">
        <v>0</v>
      </c>
      <c r="BV62" s="68">
        <v>0</v>
      </c>
      <c r="BW62" s="68">
        <v>0</v>
      </c>
      <c r="BX62" s="68">
        <v>0</v>
      </c>
      <c r="BY62" s="68">
        <v>0</v>
      </c>
      <c r="BZ62" s="68">
        <v>0</v>
      </c>
      <c r="CA62" s="68">
        <v>0</v>
      </c>
      <c r="CB62" s="68">
        <v>0</v>
      </c>
      <c r="CC62" s="68">
        <v>0</v>
      </c>
      <c r="CD62" s="68">
        <v>0</v>
      </c>
      <c r="CE62" s="68">
        <v>0</v>
      </c>
      <c r="CF62" s="68">
        <v>0</v>
      </c>
      <c r="CG62" s="68">
        <v>0</v>
      </c>
      <c r="CH62" s="68">
        <v>0</v>
      </c>
      <c r="CI62" s="68">
        <v>0</v>
      </c>
      <c r="CJ62" s="68">
        <v>0</v>
      </c>
      <c r="CK62" s="68">
        <v>0</v>
      </c>
      <c r="CL62" s="68">
        <v>0</v>
      </c>
      <c r="CM62" s="68">
        <v>0</v>
      </c>
      <c r="CN62" s="68">
        <v>0</v>
      </c>
      <c r="CO62" s="68">
        <v>0</v>
      </c>
      <c r="CP62" s="68">
        <v>0</v>
      </c>
      <c r="CQ62" s="68">
        <v>0</v>
      </c>
      <c r="CR62" s="68">
        <v>0</v>
      </c>
      <c r="CS62" s="68">
        <v>0</v>
      </c>
      <c r="CT62" s="68">
        <v>0</v>
      </c>
      <c r="CU62" s="68">
        <v>0</v>
      </c>
      <c r="CV62" s="68">
        <v>0</v>
      </c>
      <c r="CW62" s="68">
        <v>0</v>
      </c>
      <c r="CX62" s="68">
        <v>0</v>
      </c>
      <c r="CY62" s="68">
        <v>0</v>
      </c>
      <c r="CZ62" s="68">
        <v>0</v>
      </c>
      <c r="DA62" s="68">
        <v>0</v>
      </c>
      <c r="DB62" s="68">
        <v>0</v>
      </c>
      <c r="DC62" s="77">
        <v>0</v>
      </c>
    </row>
    <row r="63" spans="1:107">
      <c r="A63" s="57" t="s">
        <v>99</v>
      </c>
      <c r="B63" s="68">
        <v>127440</v>
      </c>
      <c r="C63" s="68">
        <v>87020</v>
      </c>
      <c r="D63" s="68">
        <v>0</v>
      </c>
      <c r="E63" s="68">
        <v>0</v>
      </c>
      <c r="F63" s="68">
        <v>19820</v>
      </c>
      <c r="G63" s="68">
        <v>420</v>
      </c>
      <c r="H63" s="68">
        <v>0</v>
      </c>
      <c r="I63" s="68">
        <v>840</v>
      </c>
      <c r="J63" s="68">
        <v>2520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420</v>
      </c>
      <c r="T63" s="68">
        <v>0</v>
      </c>
      <c r="U63" s="68">
        <v>14300</v>
      </c>
      <c r="V63" s="68">
        <v>420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68">
        <v>0</v>
      </c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1260</v>
      </c>
      <c r="AK63" s="68">
        <v>14780</v>
      </c>
      <c r="AL63" s="68">
        <v>2940</v>
      </c>
      <c r="AM63" s="68">
        <v>2100</v>
      </c>
      <c r="AN63" s="68">
        <v>420</v>
      </c>
      <c r="AO63" s="68">
        <v>0</v>
      </c>
      <c r="AP63" s="68">
        <v>0</v>
      </c>
      <c r="AQ63" s="68">
        <v>420</v>
      </c>
      <c r="AR63" s="68">
        <v>0</v>
      </c>
      <c r="AS63" s="68">
        <v>0</v>
      </c>
      <c r="AT63" s="68">
        <v>2520</v>
      </c>
      <c r="AU63" s="68">
        <v>2520</v>
      </c>
      <c r="AV63" s="68">
        <v>4200</v>
      </c>
      <c r="AW63" s="68">
        <v>2520</v>
      </c>
      <c r="AX63" s="68">
        <v>2940</v>
      </c>
      <c r="AY63" s="68">
        <v>2100</v>
      </c>
      <c r="AZ63" s="68">
        <v>1260</v>
      </c>
      <c r="BA63" s="68">
        <v>1260</v>
      </c>
      <c r="BB63" s="68">
        <v>1260</v>
      </c>
      <c r="BC63" s="68">
        <v>1680</v>
      </c>
      <c r="BD63" s="68">
        <v>2520</v>
      </c>
      <c r="BE63" s="68">
        <v>3360</v>
      </c>
      <c r="BF63" s="68">
        <v>2520</v>
      </c>
      <c r="BG63" s="68">
        <v>2520</v>
      </c>
      <c r="BH63" s="68">
        <v>1680</v>
      </c>
      <c r="BI63" s="68">
        <v>1260</v>
      </c>
      <c r="BJ63" s="68">
        <v>1260</v>
      </c>
      <c r="BK63" s="68">
        <v>1680</v>
      </c>
      <c r="BL63" s="68">
        <v>1260</v>
      </c>
      <c r="BM63" s="68">
        <v>840</v>
      </c>
      <c r="BN63" s="68">
        <v>1680</v>
      </c>
      <c r="BO63" s="68">
        <v>2100</v>
      </c>
      <c r="BP63" s="68">
        <v>840</v>
      </c>
      <c r="BQ63" s="68">
        <v>840</v>
      </c>
      <c r="BR63" s="68">
        <v>840</v>
      </c>
      <c r="BS63" s="68">
        <v>840</v>
      </c>
      <c r="BT63" s="68">
        <v>840</v>
      </c>
      <c r="BU63" s="68">
        <v>840</v>
      </c>
      <c r="BV63" s="68">
        <v>840</v>
      </c>
      <c r="BW63" s="68">
        <v>13020</v>
      </c>
      <c r="BX63" s="68">
        <v>840</v>
      </c>
      <c r="BY63" s="68">
        <v>840</v>
      </c>
      <c r="BZ63" s="68">
        <v>420</v>
      </c>
      <c r="CA63" s="68">
        <v>840</v>
      </c>
      <c r="CB63" s="68">
        <v>840</v>
      </c>
      <c r="CC63" s="68">
        <v>2520</v>
      </c>
      <c r="CD63" s="68">
        <v>1260</v>
      </c>
      <c r="CE63" s="68">
        <v>840</v>
      </c>
      <c r="CF63" s="68">
        <v>420</v>
      </c>
      <c r="CG63" s="68">
        <v>840</v>
      </c>
      <c r="CH63" s="68">
        <v>420</v>
      </c>
      <c r="CI63" s="68">
        <v>420</v>
      </c>
      <c r="CJ63" s="68">
        <v>840</v>
      </c>
      <c r="CK63" s="68">
        <v>420</v>
      </c>
      <c r="CL63" s="68">
        <v>840</v>
      </c>
      <c r="CM63" s="68">
        <v>420</v>
      </c>
      <c r="CN63" s="68">
        <v>420</v>
      </c>
      <c r="CO63" s="68">
        <v>420</v>
      </c>
      <c r="CP63" s="68">
        <v>420</v>
      </c>
      <c r="CQ63" s="68">
        <v>420</v>
      </c>
      <c r="CR63" s="68">
        <v>420</v>
      </c>
      <c r="CS63" s="68">
        <v>840</v>
      </c>
      <c r="CT63" s="68">
        <v>420</v>
      </c>
      <c r="CU63" s="68">
        <v>420</v>
      </c>
      <c r="CV63" s="68">
        <v>840</v>
      </c>
      <c r="CW63" s="68">
        <v>420</v>
      </c>
      <c r="CX63" s="68">
        <v>920</v>
      </c>
      <c r="CY63" s="68">
        <v>840</v>
      </c>
      <c r="CZ63" s="68">
        <v>420</v>
      </c>
      <c r="DA63" s="68">
        <v>420</v>
      </c>
      <c r="DB63" s="68">
        <v>420</v>
      </c>
      <c r="DC63" s="77">
        <v>1680</v>
      </c>
    </row>
    <row r="64" spans="1:107">
      <c r="A64" s="57" t="s">
        <v>100</v>
      </c>
      <c r="B64" s="68">
        <v>220731.59</v>
      </c>
      <c r="C64" s="68">
        <v>137469.28</v>
      </c>
      <c r="D64" s="68">
        <v>11048.42</v>
      </c>
      <c r="E64" s="68">
        <v>34654.88</v>
      </c>
      <c r="F64" s="68">
        <v>0</v>
      </c>
      <c r="G64" s="68">
        <v>0</v>
      </c>
      <c r="H64" s="68">
        <v>0</v>
      </c>
      <c r="I64" s="68">
        <v>0</v>
      </c>
      <c r="J64" s="68">
        <v>19139.71</v>
      </c>
      <c r="K64" s="68">
        <v>0</v>
      </c>
      <c r="L64" s="68">
        <v>0</v>
      </c>
      <c r="M64" s="68">
        <v>5603.24</v>
      </c>
      <c r="N64" s="68">
        <v>12816.06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34654.88</v>
      </c>
      <c r="Y64" s="68">
        <v>0</v>
      </c>
      <c r="Z64" s="68">
        <v>0</v>
      </c>
      <c r="AA64" s="68">
        <v>0</v>
      </c>
      <c r="AB64" s="68">
        <v>0</v>
      </c>
      <c r="AC64" s="68">
        <v>0</v>
      </c>
      <c r="AD64" s="68">
        <v>0</v>
      </c>
      <c r="AE64" s="68">
        <v>0</v>
      </c>
      <c r="AF64" s="68">
        <v>11048.42</v>
      </c>
      <c r="AG64" s="68">
        <v>0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8">
        <v>0</v>
      </c>
      <c r="AQ64" s="68">
        <v>0</v>
      </c>
      <c r="AR64" s="68">
        <v>0</v>
      </c>
      <c r="AS64" s="68">
        <v>0</v>
      </c>
      <c r="AT64" s="68">
        <v>0</v>
      </c>
      <c r="AU64" s="68">
        <v>0</v>
      </c>
      <c r="AV64" s="68">
        <v>0</v>
      </c>
      <c r="AW64" s="68">
        <v>0</v>
      </c>
      <c r="AX64" s="68">
        <v>0</v>
      </c>
      <c r="AY64" s="68">
        <v>0</v>
      </c>
      <c r="AZ64" s="68">
        <v>0</v>
      </c>
      <c r="BA64" s="68">
        <v>0</v>
      </c>
      <c r="BB64" s="68">
        <v>0</v>
      </c>
      <c r="BC64" s="68">
        <v>0</v>
      </c>
      <c r="BD64" s="68">
        <v>0</v>
      </c>
      <c r="BE64" s="68">
        <v>0</v>
      </c>
      <c r="BF64" s="68">
        <v>0</v>
      </c>
      <c r="BG64" s="68">
        <v>0</v>
      </c>
      <c r="BH64" s="68">
        <v>0</v>
      </c>
      <c r="BI64" s="68">
        <v>0</v>
      </c>
      <c r="BJ64" s="68">
        <v>0</v>
      </c>
      <c r="BK64" s="68">
        <v>0</v>
      </c>
      <c r="BL64" s="68">
        <v>0</v>
      </c>
      <c r="BM64" s="68">
        <v>0</v>
      </c>
      <c r="BN64" s="68">
        <v>0</v>
      </c>
      <c r="BO64" s="68">
        <v>0</v>
      </c>
      <c r="BP64" s="68">
        <v>0</v>
      </c>
      <c r="BQ64" s="68">
        <v>0</v>
      </c>
      <c r="BR64" s="68">
        <v>0</v>
      </c>
      <c r="BS64" s="68">
        <v>0</v>
      </c>
      <c r="BT64" s="68">
        <v>0</v>
      </c>
      <c r="BU64" s="68">
        <v>0</v>
      </c>
      <c r="BV64" s="68">
        <v>0</v>
      </c>
      <c r="BW64" s="68">
        <v>137469.28</v>
      </c>
      <c r="BX64" s="68">
        <v>0</v>
      </c>
      <c r="BY64" s="68">
        <v>0</v>
      </c>
      <c r="BZ64" s="68">
        <v>0</v>
      </c>
      <c r="CA64" s="68">
        <v>0</v>
      </c>
      <c r="CB64" s="68">
        <v>0</v>
      </c>
      <c r="CC64" s="68">
        <v>0</v>
      </c>
      <c r="CD64" s="68">
        <v>0</v>
      </c>
      <c r="CE64" s="68">
        <v>0</v>
      </c>
      <c r="CF64" s="68">
        <v>0</v>
      </c>
      <c r="CG64" s="68">
        <v>0</v>
      </c>
      <c r="CH64" s="68">
        <v>0</v>
      </c>
      <c r="CI64" s="68">
        <v>0</v>
      </c>
      <c r="CJ64" s="68">
        <v>0</v>
      </c>
      <c r="CK64" s="68">
        <v>0</v>
      </c>
      <c r="CL64" s="68">
        <v>0</v>
      </c>
      <c r="CM64" s="68">
        <v>0</v>
      </c>
      <c r="CN64" s="68">
        <v>0</v>
      </c>
      <c r="CO64" s="68">
        <v>0</v>
      </c>
      <c r="CP64" s="68">
        <v>0</v>
      </c>
      <c r="CQ64" s="68">
        <v>0</v>
      </c>
      <c r="CR64" s="68">
        <v>0</v>
      </c>
      <c r="CS64" s="68">
        <v>0</v>
      </c>
      <c r="CT64" s="68">
        <v>0</v>
      </c>
      <c r="CU64" s="68">
        <v>0</v>
      </c>
      <c r="CV64" s="68">
        <v>0</v>
      </c>
      <c r="CW64" s="68">
        <v>0</v>
      </c>
      <c r="CX64" s="68">
        <v>0</v>
      </c>
      <c r="CY64" s="68">
        <v>0</v>
      </c>
      <c r="CZ64" s="68">
        <v>0</v>
      </c>
      <c r="DA64" s="68">
        <v>0</v>
      </c>
      <c r="DB64" s="68">
        <v>0</v>
      </c>
      <c r="DC64" s="77">
        <v>0</v>
      </c>
    </row>
    <row r="65" spans="1:107">
      <c r="A65" s="57" t="s">
        <v>101</v>
      </c>
      <c r="B65" s="68">
        <v>6830074.48</v>
      </c>
      <c r="C65" s="68">
        <v>0</v>
      </c>
      <c r="D65" s="68">
        <v>0</v>
      </c>
      <c r="E65" s="68">
        <v>0</v>
      </c>
      <c r="F65" s="68">
        <v>0</v>
      </c>
      <c r="G65" s="68">
        <v>0</v>
      </c>
      <c r="H65" s="68">
        <v>6830074.48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68">
        <v>0</v>
      </c>
      <c r="AD65" s="68">
        <v>0</v>
      </c>
      <c r="AE65" s="68">
        <v>0</v>
      </c>
      <c r="AF65" s="68">
        <v>0</v>
      </c>
      <c r="AG65" s="68">
        <v>0</v>
      </c>
      <c r="AH65" s="68">
        <v>0</v>
      </c>
      <c r="AI65" s="68">
        <v>0</v>
      </c>
      <c r="AJ65" s="68">
        <v>0</v>
      </c>
      <c r="AK65" s="68">
        <v>0</v>
      </c>
      <c r="AL65" s="68">
        <v>0</v>
      </c>
      <c r="AM65" s="68">
        <v>0</v>
      </c>
      <c r="AN65" s="68">
        <v>0</v>
      </c>
      <c r="AO65" s="68">
        <v>0</v>
      </c>
      <c r="AP65" s="68">
        <v>0</v>
      </c>
      <c r="AQ65" s="68">
        <v>0</v>
      </c>
      <c r="AR65" s="68">
        <v>0</v>
      </c>
      <c r="AS65" s="68">
        <v>0</v>
      </c>
      <c r="AT65" s="68">
        <v>0</v>
      </c>
      <c r="AU65" s="68">
        <v>0</v>
      </c>
      <c r="AV65" s="68">
        <v>0</v>
      </c>
      <c r="AW65" s="68">
        <v>0</v>
      </c>
      <c r="AX65" s="68">
        <v>0</v>
      </c>
      <c r="AY65" s="68">
        <v>0</v>
      </c>
      <c r="AZ65" s="68">
        <v>0</v>
      </c>
      <c r="BA65" s="68">
        <v>0</v>
      </c>
      <c r="BB65" s="68">
        <v>0</v>
      </c>
      <c r="BC65" s="68">
        <v>0</v>
      </c>
      <c r="BD65" s="68">
        <v>0</v>
      </c>
      <c r="BE65" s="68">
        <v>0</v>
      </c>
      <c r="BF65" s="68">
        <v>0</v>
      </c>
      <c r="BG65" s="68">
        <v>0</v>
      </c>
      <c r="BH65" s="68">
        <v>0</v>
      </c>
      <c r="BI65" s="68">
        <v>0</v>
      </c>
      <c r="BJ65" s="68">
        <v>0</v>
      </c>
      <c r="BK65" s="68">
        <v>0</v>
      </c>
      <c r="BL65" s="68">
        <v>0</v>
      </c>
      <c r="BM65" s="68">
        <v>0</v>
      </c>
      <c r="BN65" s="68">
        <v>0</v>
      </c>
      <c r="BO65" s="68">
        <v>0</v>
      </c>
      <c r="BP65" s="68">
        <v>0</v>
      </c>
      <c r="BQ65" s="68">
        <v>0</v>
      </c>
      <c r="BR65" s="68">
        <v>0</v>
      </c>
      <c r="BS65" s="68">
        <v>0</v>
      </c>
      <c r="BT65" s="68">
        <v>0</v>
      </c>
      <c r="BU65" s="68">
        <v>0</v>
      </c>
      <c r="BV65" s="68">
        <v>0</v>
      </c>
      <c r="BW65" s="68">
        <v>0</v>
      </c>
      <c r="BX65" s="68">
        <v>0</v>
      </c>
      <c r="BY65" s="68">
        <v>0</v>
      </c>
      <c r="BZ65" s="68">
        <v>0</v>
      </c>
      <c r="CA65" s="68">
        <v>0</v>
      </c>
      <c r="CB65" s="68">
        <v>0</v>
      </c>
      <c r="CC65" s="68">
        <v>0</v>
      </c>
      <c r="CD65" s="68">
        <v>0</v>
      </c>
      <c r="CE65" s="68">
        <v>0</v>
      </c>
      <c r="CF65" s="68">
        <v>0</v>
      </c>
      <c r="CG65" s="68">
        <v>0</v>
      </c>
      <c r="CH65" s="68">
        <v>0</v>
      </c>
      <c r="CI65" s="68">
        <v>0</v>
      </c>
      <c r="CJ65" s="68">
        <v>0</v>
      </c>
      <c r="CK65" s="68">
        <v>0</v>
      </c>
      <c r="CL65" s="68">
        <v>0</v>
      </c>
      <c r="CM65" s="68">
        <v>0</v>
      </c>
      <c r="CN65" s="68">
        <v>0</v>
      </c>
      <c r="CO65" s="68">
        <v>0</v>
      </c>
      <c r="CP65" s="68">
        <v>0</v>
      </c>
      <c r="CQ65" s="68">
        <v>0</v>
      </c>
      <c r="CR65" s="68">
        <v>0</v>
      </c>
      <c r="CS65" s="68">
        <v>0</v>
      </c>
      <c r="CT65" s="68">
        <v>0</v>
      </c>
      <c r="CU65" s="68">
        <v>0</v>
      </c>
      <c r="CV65" s="68">
        <v>0</v>
      </c>
      <c r="CW65" s="68">
        <v>0</v>
      </c>
      <c r="CX65" s="68">
        <v>0</v>
      </c>
      <c r="CY65" s="68">
        <v>0</v>
      </c>
      <c r="CZ65" s="68">
        <v>0</v>
      </c>
      <c r="DA65" s="68">
        <v>0</v>
      </c>
      <c r="DB65" s="68">
        <v>0</v>
      </c>
      <c r="DC65" s="77">
        <v>0</v>
      </c>
    </row>
    <row r="66" s="61" customFormat="1" spans="1:120">
      <c r="A66" s="69" t="s">
        <v>102</v>
      </c>
      <c r="B66" s="70">
        <v>25127158.53</v>
      </c>
      <c r="C66" s="70">
        <v>8622121.82</v>
      </c>
      <c r="D66" s="70">
        <v>2443806.91</v>
      </c>
      <c r="E66" s="70">
        <v>1469474.45</v>
      </c>
      <c r="F66" s="70">
        <v>896853.44</v>
      </c>
      <c r="G66" s="70">
        <v>861189.6</v>
      </c>
      <c r="H66" s="70">
        <v>6966675.97</v>
      </c>
      <c r="I66" s="70">
        <v>143186.91</v>
      </c>
      <c r="J66" s="70">
        <v>335099.37</v>
      </c>
      <c r="K66" s="70">
        <v>372660.07</v>
      </c>
      <c r="L66" s="70">
        <v>123960.44</v>
      </c>
      <c r="M66" s="70">
        <v>236754.17</v>
      </c>
      <c r="N66" s="70">
        <v>12816.06</v>
      </c>
      <c r="O66" s="70">
        <v>23350.37</v>
      </c>
      <c r="P66" s="70">
        <v>196205.16</v>
      </c>
      <c r="Q66" s="70">
        <v>175972.15</v>
      </c>
      <c r="R66" s="70">
        <v>198987.78</v>
      </c>
      <c r="S66" s="70">
        <v>432811.35</v>
      </c>
      <c r="T66" s="70">
        <v>373479.51</v>
      </c>
      <c r="U66" s="70">
        <v>654991.94</v>
      </c>
      <c r="V66" s="70">
        <v>44404.22</v>
      </c>
      <c r="W66" s="70">
        <v>0</v>
      </c>
      <c r="X66" s="70">
        <v>121816.87</v>
      </c>
      <c r="Y66" s="70">
        <v>38075.92</v>
      </c>
      <c r="Z66" s="70">
        <v>428608.39</v>
      </c>
      <c r="AA66" s="70">
        <v>0</v>
      </c>
      <c r="AB66" s="70">
        <v>260149.52</v>
      </c>
      <c r="AC66" s="70">
        <v>312202.07</v>
      </c>
      <c r="AD66" s="70">
        <v>187899.51</v>
      </c>
      <c r="AE66" s="70">
        <v>120722.17</v>
      </c>
      <c r="AF66" s="70">
        <v>230741.38</v>
      </c>
      <c r="AG66" s="70">
        <v>689376.29</v>
      </c>
      <c r="AH66" s="70">
        <v>848117.53</v>
      </c>
      <c r="AI66" s="70">
        <v>675571.71</v>
      </c>
      <c r="AJ66" s="70">
        <v>532859.88</v>
      </c>
      <c r="AK66" s="70">
        <v>616932.83</v>
      </c>
      <c r="AL66" s="70">
        <v>203263.56</v>
      </c>
      <c r="AM66" s="70">
        <v>76657.05</v>
      </c>
      <c r="AN66" s="70">
        <v>9496.96</v>
      </c>
      <c r="AO66" s="70">
        <v>213172.71</v>
      </c>
      <c r="AP66" s="70">
        <v>302678.45</v>
      </c>
      <c r="AQ66" s="70">
        <v>179375.63</v>
      </c>
      <c r="AR66" s="70">
        <v>204055.28</v>
      </c>
      <c r="AS66" s="70">
        <v>239308.67</v>
      </c>
      <c r="AT66" s="70">
        <v>401884.5</v>
      </c>
      <c r="AU66" s="70">
        <v>400978.77</v>
      </c>
      <c r="AV66" s="70">
        <v>426526.3</v>
      </c>
      <c r="AW66" s="70">
        <v>332442.53</v>
      </c>
      <c r="AX66" s="70">
        <v>358103.31</v>
      </c>
      <c r="AY66" s="70">
        <v>323684.93</v>
      </c>
      <c r="AZ66" s="70">
        <v>131012.3</v>
      </c>
      <c r="BA66" s="70">
        <v>343347.85</v>
      </c>
      <c r="BB66" s="70">
        <v>151898.7</v>
      </c>
      <c r="BC66" s="70">
        <v>131182.3</v>
      </c>
      <c r="BD66" s="70">
        <v>409141.37</v>
      </c>
      <c r="BE66" s="70">
        <v>253481.14</v>
      </c>
      <c r="BF66" s="70">
        <v>316825.22</v>
      </c>
      <c r="BG66" s="70">
        <v>218761.08</v>
      </c>
      <c r="BH66" s="70">
        <v>166715.56</v>
      </c>
      <c r="BI66" s="70">
        <v>153122.44</v>
      </c>
      <c r="BJ66" s="70">
        <v>185544.76</v>
      </c>
      <c r="BK66" s="70">
        <v>161805.69</v>
      </c>
      <c r="BL66" s="70">
        <v>121085.72</v>
      </c>
      <c r="BM66" s="70">
        <v>109231.38</v>
      </c>
      <c r="BN66" s="70">
        <v>155366.1</v>
      </c>
      <c r="BO66" s="70">
        <v>194435.5</v>
      </c>
      <c r="BP66" s="70">
        <v>59978.57</v>
      </c>
      <c r="BQ66" s="70">
        <v>64487.11</v>
      </c>
      <c r="BR66" s="70">
        <v>47652.73</v>
      </c>
      <c r="BS66" s="70">
        <v>74566.49</v>
      </c>
      <c r="BT66" s="70">
        <v>71638.79</v>
      </c>
      <c r="BU66" s="70">
        <v>142020.71</v>
      </c>
      <c r="BV66" s="70">
        <v>59608.19</v>
      </c>
      <c r="BW66" s="70">
        <v>623958.69</v>
      </c>
      <c r="BX66" s="70">
        <v>18990.81</v>
      </c>
      <c r="BY66" s="70">
        <v>50758.22</v>
      </c>
      <c r="BZ66" s="70">
        <v>36274.23</v>
      </c>
      <c r="CA66" s="70">
        <v>32533.12</v>
      </c>
      <c r="CB66" s="70">
        <v>53131.11</v>
      </c>
      <c r="CC66" s="70">
        <v>138006.38</v>
      </c>
      <c r="CD66" s="70">
        <v>67248.35</v>
      </c>
      <c r="CE66" s="70">
        <v>30409.11</v>
      </c>
      <c r="CF66" s="70">
        <v>9827.63</v>
      </c>
      <c r="CG66" s="70">
        <v>19449.91</v>
      </c>
      <c r="CH66" s="70">
        <v>16216.64</v>
      </c>
      <c r="CI66" s="70">
        <v>8550.85</v>
      </c>
      <c r="CJ66" s="70">
        <v>35128.44</v>
      </c>
      <c r="CK66" s="70">
        <v>23184.98</v>
      </c>
      <c r="CL66" s="70">
        <v>19170.34</v>
      </c>
      <c r="CM66" s="70">
        <v>27666.55</v>
      </c>
      <c r="CN66" s="70">
        <v>10270.34</v>
      </c>
      <c r="CO66" s="70">
        <v>8594.48</v>
      </c>
      <c r="CP66" s="70">
        <v>13361.63</v>
      </c>
      <c r="CQ66" s="70">
        <v>18297.35</v>
      </c>
      <c r="CR66" s="70">
        <v>11022.1</v>
      </c>
      <c r="CS66" s="70">
        <v>20766.98</v>
      </c>
      <c r="CT66" s="70">
        <v>10996.39</v>
      </c>
      <c r="CU66" s="70">
        <v>17289.62</v>
      </c>
      <c r="CV66" s="70">
        <v>16267.75</v>
      </c>
      <c r="CW66" s="70">
        <v>8588.4</v>
      </c>
      <c r="CX66" s="70">
        <v>24565.29</v>
      </c>
      <c r="CY66" s="70">
        <v>21629.53</v>
      </c>
      <c r="CZ66" s="70">
        <v>10191.49</v>
      </c>
      <c r="DA66" s="70">
        <v>20379.73</v>
      </c>
      <c r="DB66" s="70">
        <v>16616.88</v>
      </c>
      <c r="DC66" s="70">
        <v>77657.72</v>
      </c>
      <c r="DD66" s="70">
        <f t="shared" ref="DD66:DP66" si="0">SUM(DD56:DD65)</f>
        <v>0</v>
      </c>
      <c r="DE66" s="70">
        <f t="shared" si="0"/>
        <v>0</v>
      </c>
      <c r="DF66" s="70">
        <f t="shared" si="0"/>
        <v>0</v>
      </c>
      <c r="DG66" s="70">
        <f t="shared" si="0"/>
        <v>0</v>
      </c>
      <c r="DH66" s="70">
        <f t="shared" si="0"/>
        <v>0</v>
      </c>
      <c r="DI66" s="70">
        <f t="shared" si="0"/>
        <v>0</v>
      </c>
      <c r="DJ66" s="70">
        <f t="shared" si="0"/>
        <v>0</v>
      </c>
      <c r="DK66" s="70">
        <f t="shared" si="0"/>
        <v>0</v>
      </c>
      <c r="DL66" s="70">
        <f t="shared" si="0"/>
        <v>0</v>
      </c>
      <c r="DM66" s="70">
        <f t="shared" si="0"/>
        <v>0</v>
      </c>
      <c r="DN66" s="70">
        <f t="shared" si="0"/>
        <v>0</v>
      </c>
      <c r="DO66" s="70">
        <f t="shared" si="0"/>
        <v>0</v>
      </c>
      <c r="DP66" s="70">
        <f t="shared" si="0"/>
        <v>0</v>
      </c>
    </row>
    <row r="67" spans="1:107">
      <c r="A67" s="57" t="s">
        <v>104</v>
      </c>
      <c r="B67" s="68">
        <v>7936531.66</v>
      </c>
      <c r="C67" s="68">
        <v>3639333</v>
      </c>
      <c r="D67" s="68">
        <v>4167787</v>
      </c>
      <c r="E67" s="68">
        <v>59783.66</v>
      </c>
      <c r="F67" s="68">
        <v>69628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-62353.32</v>
      </c>
      <c r="AD67" s="68">
        <v>122136.98</v>
      </c>
      <c r="AE67" s="68">
        <v>0</v>
      </c>
      <c r="AF67" s="68">
        <v>0</v>
      </c>
      <c r="AG67" s="68">
        <v>3576100</v>
      </c>
      <c r="AH67" s="68">
        <v>0</v>
      </c>
      <c r="AI67" s="68">
        <v>591687</v>
      </c>
      <c r="AJ67" s="68">
        <v>0</v>
      </c>
      <c r="AK67" s="68">
        <v>69628</v>
      </c>
      <c r="AL67" s="68">
        <v>0</v>
      </c>
      <c r="AM67" s="68">
        <v>0</v>
      </c>
      <c r="AN67" s="68">
        <v>0</v>
      </c>
      <c r="AO67" s="68">
        <v>20774.96</v>
      </c>
      <c r="AP67" s="68">
        <v>0</v>
      </c>
      <c r="AQ67" s="68">
        <v>0</v>
      </c>
      <c r="AR67" s="68">
        <v>0</v>
      </c>
      <c r="AS67" s="68">
        <v>0</v>
      </c>
      <c r="AT67" s="68">
        <v>138247.78</v>
      </c>
      <c r="AU67" s="68">
        <v>280742.83</v>
      </c>
      <c r="AV67" s="68">
        <v>360885.79</v>
      </c>
      <c r="AW67" s="68">
        <v>145947.82</v>
      </c>
      <c r="AX67" s="68">
        <v>243383.33</v>
      </c>
      <c r="AY67" s="68">
        <v>162568.4</v>
      </c>
      <c r="AZ67" s="68">
        <v>94830.41</v>
      </c>
      <c r="BA67" s="68">
        <v>296107.77</v>
      </c>
      <c r="BB67" s="68">
        <v>35116.45</v>
      </c>
      <c r="BC67" s="68">
        <v>19554.58</v>
      </c>
      <c r="BD67" s="68">
        <v>190636.51</v>
      </c>
      <c r="BE67" s="68">
        <v>170828.01</v>
      </c>
      <c r="BF67" s="68">
        <v>103393.02</v>
      </c>
      <c r="BG67" s="68">
        <v>61104.33</v>
      </c>
      <c r="BH67" s="68">
        <v>56557.13</v>
      </c>
      <c r="BI67" s="68">
        <v>67434.05</v>
      </c>
      <c r="BJ67" s="68">
        <v>135549.83</v>
      </c>
      <c r="BK67" s="68">
        <v>71754.26</v>
      </c>
      <c r="BL67" s="68">
        <v>40188.16</v>
      </c>
      <c r="BM67" s="68">
        <v>72381.72</v>
      </c>
      <c r="BN67" s="68">
        <v>103123.05</v>
      </c>
      <c r="BO67" s="68">
        <v>79176.24</v>
      </c>
      <c r="BP67" s="68">
        <v>15742.12</v>
      </c>
      <c r="BQ67" s="68">
        <v>21924.45</v>
      </c>
      <c r="BR67" s="68">
        <v>3970.41</v>
      </c>
      <c r="BS67" s="68">
        <v>47205.41</v>
      </c>
      <c r="BT67" s="68">
        <v>47451.34</v>
      </c>
      <c r="BU67" s="68">
        <v>62953.01</v>
      </c>
      <c r="BV67" s="68">
        <v>66346.17</v>
      </c>
      <c r="BW67" s="68">
        <v>220851.09</v>
      </c>
      <c r="BX67" s="68">
        <v>6997.66</v>
      </c>
      <c r="BY67" s="68">
        <v>58684.22</v>
      </c>
      <c r="BZ67" s="68">
        <v>24361.05</v>
      </c>
      <c r="CA67" s="68">
        <v>21823.55</v>
      </c>
      <c r="CB67" s="68">
        <v>3755.19</v>
      </c>
      <c r="CC67" s="68">
        <v>9972.68</v>
      </c>
      <c r="CD67" s="68">
        <v>16355.1</v>
      </c>
      <c r="CE67" s="68">
        <v>416.45</v>
      </c>
      <c r="CF67" s="68">
        <v>1116.66</v>
      </c>
      <c r="CG67" s="68">
        <v>11887.57</v>
      </c>
      <c r="CH67" s="68">
        <v>1727.04</v>
      </c>
      <c r="CI67" s="68">
        <v>344.57</v>
      </c>
      <c r="CJ67" s="68">
        <v>0</v>
      </c>
      <c r="CK67" s="68">
        <v>3791.82</v>
      </c>
      <c r="CL67" s="68">
        <v>3383.91</v>
      </c>
      <c r="CM67" s="68">
        <v>8630.66</v>
      </c>
      <c r="CN67" s="68">
        <v>3850.24</v>
      </c>
      <c r="CO67" s="68">
        <v>303.81</v>
      </c>
      <c r="CP67" s="68">
        <v>5405.64</v>
      </c>
      <c r="CQ67" s="68">
        <v>4443.46</v>
      </c>
      <c r="CR67" s="68">
        <v>1734.16</v>
      </c>
      <c r="CS67" s="68">
        <v>2297.1</v>
      </c>
      <c r="CT67" s="68">
        <v>3565.48</v>
      </c>
      <c r="CU67" s="68">
        <v>848.2</v>
      </c>
      <c r="CV67" s="68">
        <v>3773.75</v>
      </c>
      <c r="CW67" s="68">
        <v>0</v>
      </c>
      <c r="CX67" s="68">
        <v>0</v>
      </c>
      <c r="CY67" s="68">
        <v>1638.72</v>
      </c>
      <c r="CZ67" s="68">
        <v>193.31</v>
      </c>
      <c r="DA67" s="68">
        <v>0</v>
      </c>
      <c r="DB67" s="68">
        <v>1300.57</v>
      </c>
      <c r="DC67" s="77">
        <v>0</v>
      </c>
    </row>
    <row r="68" spans="1:107">
      <c r="A68" s="57" t="s">
        <v>105</v>
      </c>
      <c r="B68" s="68">
        <v>6820073.13</v>
      </c>
      <c r="C68" s="68">
        <v>5884287.37</v>
      </c>
      <c r="D68" s="68">
        <v>935785.76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68">
        <v>0</v>
      </c>
      <c r="AD68" s="68">
        <v>0</v>
      </c>
      <c r="AE68" s="68">
        <v>0</v>
      </c>
      <c r="AF68" s="68">
        <v>0</v>
      </c>
      <c r="AG68" s="68">
        <v>31200</v>
      </c>
      <c r="AH68" s="68">
        <v>0</v>
      </c>
      <c r="AI68" s="68">
        <v>904585.76</v>
      </c>
      <c r="AJ68" s="68">
        <v>0</v>
      </c>
      <c r="AK68" s="68">
        <v>0</v>
      </c>
      <c r="AL68" s="68">
        <v>0</v>
      </c>
      <c r="AM68" s="68">
        <v>0</v>
      </c>
      <c r="AN68" s="68">
        <v>0</v>
      </c>
      <c r="AO68" s="68">
        <v>5759929.04</v>
      </c>
      <c r="AP68" s="68">
        <v>0</v>
      </c>
      <c r="AQ68" s="68">
        <v>0</v>
      </c>
      <c r="AR68" s="68">
        <v>0</v>
      </c>
      <c r="AS68" s="68">
        <v>0</v>
      </c>
      <c r="AT68" s="68">
        <v>0</v>
      </c>
      <c r="AU68" s="68">
        <v>0</v>
      </c>
      <c r="AV68" s="68">
        <v>0</v>
      </c>
      <c r="AW68" s="68">
        <v>0</v>
      </c>
      <c r="AX68" s="68">
        <v>0</v>
      </c>
      <c r="AY68" s="68">
        <v>0</v>
      </c>
      <c r="AZ68" s="68">
        <v>0</v>
      </c>
      <c r="BA68" s="68">
        <v>0</v>
      </c>
      <c r="BB68" s="68">
        <v>0</v>
      </c>
      <c r="BC68" s="68">
        <v>0</v>
      </c>
      <c r="BD68" s="68">
        <v>0</v>
      </c>
      <c r="BE68" s="68">
        <v>0</v>
      </c>
      <c r="BF68" s="68">
        <v>0</v>
      </c>
      <c r="BG68" s="68">
        <v>5063.46</v>
      </c>
      <c r="BH68" s="68">
        <v>0</v>
      </c>
      <c r="BI68" s="68">
        <v>0</v>
      </c>
      <c r="BJ68" s="68">
        <v>0</v>
      </c>
      <c r="BK68" s="68">
        <v>0</v>
      </c>
      <c r="BL68" s="68">
        <v>0</v>
      </c>
      <c r="BM68" s="68">
        <v>0</v>
      </c>
      <c r="BN68" s="68">
        <v>0</v>
      </c>
      <c r="BO68" s="68">
        <v>0</v>
      </c>
      <c r="BP68" s="68">
        <v>0</v>
      </c>
      <c r="BQ68" s="68">
        <v>0</v>
      </c>
      <c r="BR68" s="68">
        <v>0</v>
      </c>
      <c r="BS68" s="68">
        <v>0</v>
      </c>
      <c r="BT68" s="68">
        <v>0</v>
      </c>
      <c r="BU68" s="68">
        <v>0</v>
      </c>
      <c r="BV68" s="68">
        <v>0</v>
      </c>
      <c r="BW68" s="68">
        <v>119168.87</v>
      </c>
      <c r="BX68" s="68">
        <v>0</v>
      </c>
      <c r="BY68" s="68">
        <v>0</v>
      </c>
      <c r="BZ68" s="68">
        <v>0</v>
      </c>
      <c r="CA68" s="68">
        <v>0</v>
      </c>
      <c r="CB68" s="68">
        <v>0</v>
      </c>
      <c r="CC68" s="68">
        <v>0</v>
      </c>
      <c r="CD68" s="68">
        <v>0</v>
      </c>
      <c r="CE68" s="68">
        <v>0</v>
      </c>
      <c r="CF68" s="68">
        <v>0</v>
      </c>
      <c r="CG68" s="68">
        <v>0</v>
      </c>
      <c r="CH68" s="68">
        <v>0</v>
      </c>
      <c r="CI68" s="68">
        <v>126</v>
      </c>
      <c r="CJ68" s="68">
        <v>0</v>
      </c>
      <c r="CK68" s="68">
        <v>0</v>
      </c>
      <c r="CL68" s="68">
        <v>0</v>
      </c>
      <c r="CM68" s="68">
        <v>0</v>
      </c>
      <c r="CN68" s="68">
        <v>0</v>
      </c>
      <c r="CO68" s="68">
        <v>0</v>
      </c>
      <c r="CP68" s="68">
        <v>0</v>
      </c>
      <c r="CQ68" s="68">
        <v>0</v>
      </c>
      <c r="CR68" s="68">
        <v>0</v>
      </c>
      <c r="CS68" s="68">
        <v>0</v>
      </c>
      <c r="CT68" s="68">
        <v>0</v>
      </c>
      <c r="CU68" s="68">
        <v>0</v>
      </c>
      <c r="CV68" s="68">
        <v>0</v>
      </c>
      <c r="CW68" s="68">
        <v>0</v>
      </c>
      <c r="CX68" s="68">
        <v>0</v>
      </c>
      <c r="CY68" s="68">
        <v>0</v>
      </c>
      <c r="CZ68" s="68">
        <v>0</v>
      </c>
      <c r="DA68" s="68">
        <v>0</v>
      </c>
      <c r="DB68" s="68">
        <v>0</v>
      </c>
      <c r="DC68" s="77">
        <v>0</v>
      </c>
    </row>
    <row r="69" spans="1:107">
      <c r="A69" s="57" t="s">
        <v>106</v>
      </c>
      <c r="B69" s="68">
        <v>4543794.69</v>
      </c>
      <c r="C69" s="68">
        <v>4175929.59</v>
      </c>
      <c r="D69" s="68">
        <v>1629678.85</v>
      </c>
      <c r="E69" s="68">
        <v>199915.15</v>
      </c>
      <c r="F69" s="68">
        <v>5.4</v>
      </c>
      <c r="G69" s="68">
        <v>0</v>
      </c>
      <c r="H69" s="68">
        <v>-952863.57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0</v>
      </c>
      <c r="W69" s="68">
        <v>6323.45</v>
      </c>
      <c r="X69" s="68">
        <v>17.6</v>
      </c>
      <c r="Y69" s="68">
        <v>0</v>
      </c>
      <c r="Z69" s="68">
        <v>867543.04</v>
      </c>
      <c r="AA69" s="68">
        <v>0</v>
      </c>
      <c r="AB69" s="68">
        <v>-645405.29</v>
      </c>
      <c r="AC69" s="68">
        <v>-50943.12</v>
      </c>
      <c r="AD69" s="68">
        <v>28702.92</v>
      </c>
      <c r="AE69" s="68">
        <v>0</v>
      </c>
      <c r="AF69" s="68">
        <v>0</v>
      </c>
      <c r="AG69" s="68">
        <v>1309767.49</v>
      </c>
      <c r="AH69" s="68">
        <v>175130.83</v>
      </c>
      <c r="AI69" s="68">
        <v>144780.53</v>
      </c>
      <c r="AJ69" s="68">
        <v>-515194.18</v>
      </c>
      <c r="AK69" s="68">
        <v>-0.94</v>
      </c>
      <c r="AL69" s="68">
        <v>6.34</v>
      </c>
      <c r="AM69" s="68">
        <v>0</v>
      </c>
      <c r="AN69" s="68">
        <v>0</v>
      </c>
      <c r="AO69" s="68">
        <v>6034.49</v>
      </c>
      <c r="AP69" s="68">
        <v>7932.03</v>
      </c>
      <c r="AQ69" s="68">
        <v>0</v>
      </c>
      <c r="AR69" s="68">
        <v>1119698.87</v>
      </c>
      <c r="AS69" s="68">
        <v>0</v>
      </c>
      <c r="AT69" s="68">
        <v>129569.84</v>
      </c>
      <c r="AU69" s="68">
        <v>185128.01</v>
      </c>
      <c r="AV69" s="68">
        <v>160922.63</v>
      </c>
      <c r="AW69" s="68">
        <v>125230.96</v>
      </c>
      <c r="AX69" s="68">
        <v>164418.43</v>
      </c>
      <c r="AY69" s="68">
        <v>156641.04</v>
      </c>
      <c r="AZ69" s="68">
        <v>49641</v>
      </c>
      <c r="BA69" s="68">
        <v>174757.46</v>
      </c>
      <c r="BB69" s="68">
        <v>63555.25</v>
      </c>
      <c r="BC69" s="68">
        <v>55705.48</v>
      </c>
      <c r="BD69" s="68">
        <v>134973.12</v>
      </c>
      <c r="BE69" s="68">
        <v>493856.13</v>
      </c>
      <c r="BF69" s="68">
        <v>74835.66</v>
      </c>
      <c r="BG69" s="68">
        <v>118043.88</v>
      </c>
      <c r="BH69" s="68">
        <v>43992.03</v>
      </c>
      <c r="BI69" s="68">
        <v>50289.37</v>
      </c>
      <c r="BJ69" s="68">
        <v>53531.08</v>
      </c>
      <c r="BK69" s="68">
        <v>55948.12</v>
      </c>
      <c r="BL69" s="68">
        <v>47048.54</v>
      </c>
      <c r="BM69" s="68">
        <v>23601.22</v>
      </c>
      <c r="BN69" s="68">
        <v>36088.91</v>
      </c>
      <c r="BO69" s="68">
        <v>55947.84</v>
      </c>
      <c r="BP69" s="68">
        <v>12171.72</v>
      </c>
      <c r="BQ69" s="68">
        <v>19273.95</v>
      </c>
      <c r="BR69" s="68">
        <v>10656.45</v>
      </c>
      <c r="BS69" s="68">
        <v>20964.87</v>
      </c>
      <c r="BT69" s="68">
        <v>9142.07</v>
      </c>
      <c r="BU69" s="68">
        <v>20670.18</v>
      </c>
      <c r="BV69" s="68">
        <v>12161.88</v>
      </c>
      <c r="BW69" s="68">
        <v>8091.51</v>
      </c>
      <c r="BX69" s="68">
        <v>8089.11</v>
      </c>
      <c r="BY69" s="68">
        <v>14238.75</v>
      </c>
      <c r="BZ69" s="68">
        <v>4823.23</v>
      </c>
      <c r="CA69" s="68">
        <v>6079.21</v>
      </c>
      <c r="CB69" s="68">
        <v>13753.72</v>
      </c>
      <c r="CC69" s="68">
        <v>9880.25</v>
      </c>
      <c r="CD69" s="68">
        <v>405095.97</v>
      </c>
      <c r="CE69" s="68">
        <v>4503.56</v>
      </c>
      <c r="CF69" s="68">
        <v>4.63</v>
      </c>
      <c r="CG69" s="68">
        <v>3022.89</v>
      </c>
      <c r="CH69" s="68">
        <v>-838.75</v>
      </c>
      <c r="CI69" s="68">
        <v>30.24</v>
      </c>
      <c r="CJ69" s="68">
        <v>1683.68</v>
      </c>
      <c r="CK69" s="68">
        <v>146.53</v>
      </c>
      <c r="CL69" s="68">
        <v>31.32</v>
      </c>
      <c r="CM69" s="68">
        <v>217.5</v>
      </c>
      <c r="CN69" s="68">
        <v>-222.16</v>
      </c>
      <c r="CO69" s="68">
        <v>9.05</v>
      </c>
      <c r="CP69" s="68">
        <v>-6.71</v>
      </c>
      <c r="CQ69" s="68">
        <v>1262.35</v>
      </c>
      <c r="CR69" s="68">
        <v>27.67</v>
      </c>
      <c r="CS69" s="68">
        <v>2404.13</v>
      </c>
      <c r="CT69" s="68">
        <v>124.88</v>
      </c>
      <c r="CU69" s="68">
        <v>275.59</v>
      </c>
      <c r="CV69" s="68">
        <v>3.78</v>
      </c>
      <c r="CW69" s="68">
        <v>4.32</v>
      </c>
      <c r="CX69" s="68">
        <v>67.91</v>
      </c>
      <c r="CY69" s="68">
        <v>262.94</v>
      </c>
      <c r="CZ69" s="68">
        <v>0</v>
      </c>
      <c r="DA69" s="68">
        <v>0.07</v>
      </c>
      <c r="DB69" s="68">
        <v>79.46</v>
      </c>
      <c r="DC69" s="77">
        <v>350.45</v>
      </c>
    </row>
    <row r="70" spans="1:107">
      <c r="A70" s="57" t="s">
        <v>107</v>
      </c>
      <c r="B70" s="68">
        <v>23293.01</v>
      </c>
      <c r="C70" s="68">
        <v>23293.01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68">
        <v>0</v>
      </c>
      <c r="AB70" s="68">
        <v>0</v>
      </c>
      <c r="AC70" s="68">
        <v>0</v>
      </c>
      <c r="AD70" s="68">
        <v>0</v>
      </c>
      <c r="AE70" s="68">
        <v>0</v>
      </c>
      <c r="AF70" s="68">
        <v>0</v>
      </c>
      <c r="AG70" s="68">
        <v>0</v>
      </c>
      <c r="AH70" s="68">
        <v>0</v>
      </c>
      <c r="AI70" s="68">
        <v>0</v>
      </c>
      <c r="AJ70" s="68">
        <v>0</v>
      </c>
      <c r="AK70" s="68">
        <v>0</v>
      </c>
      <c r="AL70" s="68">
        <v>0</v>
      </c>
      <c r="AM70" s="68">
        <v>0</v>
      </c>
      <c r="AN70" s="68">
        <v>0</v>
      </c>
      <c r="AO70" s="68">
        <v>0</v>
      </c>
      <c r="AP70" s="68">
        <v>0</v>
      </c>
      <c r="AQ70" s="68">
        <v>0</v>
      </c>
      <c r="AR70" s="68">
        <v>0</v>
      </c>
      <c r="AS70" s="68">
        <v>0</v>
      </c>
      <c r="AT70" s="68">
        <v>0</v>
      </c>
      <c r="AU70" s="68">
        <v>0</v>
      </c>
      <c r="AV70" s="68">
        <v>0</v>
      </c>
      <c r="AW70" s="68">
        <v>0</v>
      </c>
      <c r="AX70" s="68">
        <v>4581.64</v>
      </c>
      <c r="AY70" s="68">
        <v>1752.33</v>
      </c>
      <c r="AZ70" s="68">
        <v>0</v>
      </c>
      <c r="BA70" s="68">
        <v>0</v>
      </c>
      <c r="BB70" s="68">
        <v>0</v>
      </c>
      <c r="BC70" s="68">
        <v>0</v>
      </c>
      <c r="BD70" s="68">
        <v>1946.24</v>
      </c>
      <c r="BE70" s="68">
        <v>7963.06</v>
      </c>
      <c r="BF70" s="68">
        <v>0</v>
      </c>
      <c r="BG70" s="68">
        <v>0</v>
      </c>
      <c r="BH70" s="68">
        <v>569.89</v>
      </c>
      <c r="BI70" s="68">
        <v>685.23</v>
      </c>
      <c r="BJ70" s="68">
        <v>671.66</v>
      </c>
      <c r="BK70" s="68">
        <v>0</v>
      </c>
      <c r="BL70" s="68">
        <v>0</v>
      </c>
      <c r="BM70" s="68">
        <v>278.97</v>
      </c>
      <c r="BN70" s="68">
        <v>0</v>
      </c>
      <c r="BO70" s="68">
        <v>2383.15</v>
      </c>
      <c r="BP70" s="68">
        <v>0</v>
      </c>
      <c r="BQ70" s="68">
        <v>0</v>
      </c>
      <c r="BR70" s="68">
        <v>1803.04</v>
      </c>
      <c r="BS70" s="68">
        <v>0</v>
      </c>
      <c r="BT70" s="68">
        <v>0</v>
      </c>
      <c r="BU70" s="68">
        <v>0</v>
      </c>
      <c r="BV70" s="68">
        <v>281.57</v>
      </c>
      <c r="BW70" s="68">
        <v>0</v>
      </c>
      <c r="BX70" s="68">
        <v>0</v>
      </c>
      <c r="BY70" s="68">
        <v>0</v>
      </c>
      <c r="BZ70" s="68">
        <v>0</v>
      </c>
      <c r="CA70" s="68">
        <v>0</v>
      </c>
      <c r="CB70" s="68">
        <v>0</v>
      </c>
      <c r="CC70" s="68">
        <v>0</v>
      </c>
      <c r="CD70" s="68">
        <v>0</v>
      </c>
      <c r="CE70" s="68">
        <v>0</v>
      </c>
      <c r="CF70" s="68">
        <v>0</v>
      </c>
      <c r="CG70" s="68">
        <v>0</v>
      </c>
      <c r="CH70" s="68">
        <v>0</v>
      </c>
      <c r="CI70" s="68">
        <v>0</v>
      </c>
      <c r="CJ70" s="68">
        <v>0</v>
      </c>
      <c r="CK70" s="68">
        <v>0</v>
      </c>
      <c r="CL70" s="68">
        <v>0</v>
      </c>
      <c r="CM70" s="68">
        <v>0</v>
      </c>
      <c r="CN70" s="68">
        <v>0</v>
      </c>
      <c r="CO70" s="68">
        <v>0</v>
      </c>
      <c r="CP70" s="68">
        <v>0</v>
      </c>
      <c r="CQ70" s="68">
        <v>0</v>
      </c>
      <c r="CR70" s="68">
        <v>0</v>
      </c>
      <c r="CS70" s="68">
        <v>0</v>
      </c>
      <c r="CT70" s="68">
        <v>0</v>
      </c>
      <c r="CU70" s="68">
        <v>0</v>
      </c>
      <c r="CV70" s="68">
        <v>0</v>
      </c>
      <c r="CW70" s="68">
        <v>0</v>
      </c>
      <c r="CX70" s="68">
        <v>0</v>
      </c>
      <c r="CY70" s="68">
        <v>0</v>
      </c>
      <c r="CZ70" s="68">
        <v>0</v>
      </c>
      <c r="DA70" s="68">
        <v>376.23</v>
      </c>
      <c r="DB70" s="68">
        <v>0</v>
      </c>
      <c r="DC70" s="77">
        <v>0</v>
      </c>
    </row>
    <row r="71" spans="1:107">
      <c r="A71" s="57" t="s">
        <v>108</v>
      </c>
      <c r="B71" s="68">
        <v>2568307.1</v>
      </c>
      <c r="C71" s="68">
        <v>20000</v>
      </c>
      <c r="D71" s="68">
        <v>0</v>
      </c>
      <c r="E71" s="68">
        <v>-383650</v>
      </c>
      <c r="F71" s="68">
        <v>0</v>
      </c>
      <c r="G71" s="68">
        <v>0</v>
      </c>
      <c r="H71" s="68">
        <v>2931957.1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  <c r="Y71" s="68">
        <v>0</v>
      </c>
      <c r="Z71" s="68">
        <v>-383650</v>
      </c>
      <c r="AA71" s="68">
        <v>0</v>
      </c>
      <c r="AB71" s="68">
        <v>0</v>
      </c>
      <c r="AC71" s="68">
        <v>0</v>
      </c>
      <c r="AD71" s="68">
        <v>0</v>
      </c>
      <c r="AE71" s="68">
        <v>0</v>
      </c>
      <c r="AF71" s="68">
        <v>0</v>
      </c>
      <c r="AG71" s="68">
        <v>0</v>
      </c>
      <c r="AH71" s="68">
        <v>0</v>
      </c>
      <c r="AI71" s="68">
        <v>0</v>
      </c>
      <c r="AJ71" s="68">
        <v>0</v>
      </c>
      <c r="AK71" s="68">
        <v>0</v>
      </c>
      <c r="AL71" s="68">
        <v>0</v>
      </c>
      <c r="AM71" s="68">
        <v>0</v>
      </c>
      <c r="AN71" s="68">
        <v>0</v>
      </c>
      <c r="AO71" s="68">
        <v>0</v>
      </c>
      <c r="AP71" s="68">
        <v>0</v>
      </c>
      <c r="AQ71" s="68">
        <v>0</v>
      </c>
      <c r="AR71" s="68">
        <v>0</v>
      </c>
      <c r="AS71" s="68">
        <v>0</v>
      </c>
      <c r="AT71" s="68">
        <v>0</v>
      </c>
      <c r="AU71" s="68">
        <v>0</v>
      </c>
      <c r="AV71" s="68">
        <v>0</v>
      </c>
      <c r="AW71" s="68">
        <v>0</v>
      </c>
      <c r="AX71" s="68">
        <v>0</v>
      </c>
      <c r="AY71" s="68">
        <v>0</v>
      </c>
      <c r="AZ71" s="68">
        <v>0</v>
      </c>
      <c r="BA71" s="68">
        <v>0</v>
      </c>
      <c r="BB71" s="68">
        <v>0</v>
      </c>
      <c r="BC71" s="68">
        <v>0</v>
      </c>
      <c r="BD71" s="68">
        <v>0</v>
      </c>
      <c r="BE71" s="68">
        <v>0</v>
      </c>
      <c r="BF71" s="68">
        <v>0</v>
      </c>
      <c r="BG71" s="68">
        <v>0</v>
      </c>
      <c r="BH71" s="68">
        <v>0</v>
      </c>
      <c r="BI71" s="68">
        <v>0</v>
      </c>
      <c r="BJ71" s="68">
        <v>0</v>
      </c>
      <c r="BK71" s="68">
        <v>0</v>
      </c>
      <c r="BL71" s="68">
        <v>0</v>
      </c>
      <c r="BM71" s="68">
        <v>0</v>
      </c>
      <c r="BN71" s="68">
        <v>0</v>
      </c>
      <c r="BO71" s="68">
        <v>0</v>
      </c>
      <c r="BP71" s="68">
        <v>0</v>
      </c>
      <c r="BQ71" s="68">
        <v>0</v>
      </c>
      <c r="BR71" s="68">
        <v>0</v>
      </c>
      <c r="BS71" s="68">
        <v>0</v>
      </c>
      <c r="BT71" s="68">
        <v>0</v>
      </c>
      <c r="BU71" s="68">
        <v>0</v>
      </c>
      <c r="BV71" s="68">
        <v>0</v>
      </c>
      <c r="BW71" s="68">
        <v>0</v>
      </c>
      <c r="BX71" s="68">
        <v>0</v>
      </c>
      <c r="BY71" s="68">
        <v>0</v>
      </c>
      <c r="BZ71" s="68">
        <v>0</v>
      </c>
      <c r="CA71" s="68">
        <v>0</v>
      </c>
      <c r="CB71" s="68">
        <v>0</v>
      </c>
      <c r="CC71" s="68">
        <v>0</v>
      </c>
      <c r="CD71" s="68">
        <v>0</v>
      </c>
      <c r="CE71" s="68">
        <v>0</v>
      </c>
      <c r="CF71" s="68">
        <v>0</v>
      </c>
      <c r="CG71" s="68">
        <v>0</v>
      </c>
      <c r="CH71" s="68">
        <v>0</v>
      </c>
      <c r="CI71" s="68">
        <v>0</v>
      </c>
      <c r="CJ71" s="68">
        <v>0</v>
      </c>
      <c r="CK71" s="68">
        <v>0</v>
      </c>
      <c r="CL71" s="68">
        <v>0</v>
      </c>
      <c r="CM71" s="68">
        <v>0</v>
      </c>
      <c r="CN71" s="68">
        <v>0</v>
      </c>
      <c r="CO71" s="68">
        <v>0</v>
      </c>
      <c r="CP71" s="68">
        <v>0</v>
      </c>
      <c r="CQ71" s="68">
        <v>0</v>
      </c>
      <c r="CR71" s="68">
        <v>0</v>
      </c>
      <c r="CS71" s="68">
        <v>0</v>
      </c>
      <c r="CT71" s="68">
        <v>0</v>
      </c>
      <c r="CU71" s="68">
        <v>0</v>
      </c>
      <c r="CV71" s="68">
        <v>0</v>
      </c>
      <c r="CW71" s="68">
        <v>10000</v>
      </c>
      <c r="CX71" s="68">
        <v>0</v>
      </c>
      <c r="CY71" s="68">
        <v>10000</v>
      </c>
      <c r="CZ71" s="68">
        <v>0</v>
      </c>
      <c r="DA71" s="68">
        <v>0</v>
      </c>
      <c r="DB71" s="68">
        <v>0</v>
      </c>
      <c r="DC71" s="77">
        <v>0</v>
      </c>
    </row>
    <row r="72" s="61" customFormat="1" spans="1:116">
      <c r="A72" s="69" t="s">
        <v>102</v>
      </c>
      <c r="B72" s="70">
        <v>21891999.59</v>
      </c>
      <c r="C72" s="70">
        <v>13742842.97</v>
      </c>
      <c r="D72" s="70">
        <v>6733251.61</v>
      </c>
      <c r="E72" s="70">
        <v>-123951.19</v>
      </c>
      <c r="F72" s="70">
        <v>69633.4</v>
      </c>
      <c r="G72" s="70">
        <v>0</v>
      </c>
      <c r="H72" s="70">
        <v>1979093.53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6323.45</v>
      </c>
      <c r="X72" s="70">
        <v>17.6</v>
      </c>
      <c r="Y72" s="70">
        <v>0</v>
      </c>
      <c r="Z72" s="70">
        <v>483893.04</v>
      </c>
      <c r="AA72" s="70">
        <v>0</v>
      </c>
      <c r="AB72" s="70">
        <v>-645405.29</v>
      </c>
      <c r="AC72" s="70">
        <v>-113296.44</v>
      </c>
      <c r="AD72" s="70">
        <v>150839.9</v>
      </c>
      <c r="AE72" s="70">
        <v>0</v>
      </c>
      <c r="AF72" s="70">
        <v>0</v>
      </c>
      <c r="AG72" s="70">
        <v>4917067.49</v>
      </c>
      <c r="AH72" s="70">
        <v>175130.83</v>
      </c>
      <c r="AI72" s="70">
        <v>1641053.29</v>
      </c>
      <c r="AJ72" s="70">
        <v>-515194.18</v>
      </c>
      <c r="AK72" s="70">
        <v>69627.06</v>
      </c>
      <c r="AL72" s="70">
        <v>6.34</v>
      </c>
      <c r="AM72" s="70">
        <v>0</v>
      </c>
      <c r="AN72" s="70">
        <v>0</v>
      </c>
      <c r="AO72" s="70">
        <v>5786738.49</v>
      </c>
      <c r="AP72" s="70">
        <v>7932.03</v>
      </c>
      <c r="AQ72" s="70">
        <v>0</v>
      </c>
      <c r="AR72" s="70">
        <v>1119698.87</v>
      </c>
      <c r="AS72" s="70">
        <v>0</v>
      </c>
      <c r="AT72" s="70">
        <v>267817.62</v>
      </c>
      <c r="AU72" s="70">
        <v>465870.84</v>
      </c>
      <c r="AV72" s="70">
        <v>521808.42</v>
      </c>
      <c r="AW72" s="70">
        <v>271178.78</v>
      </c>
      <c r="AX72" s="70">
        <v>412383.4</v>
      </c>
      <c r="AY72" s="70">
        <v>320961.77</v>
      </c>
      <c r="AZ72" s="70">
        <v>144471.41</v>
      </c>
      <c r="BA72" s="70">
        <v>470865.23</v>
      </c>
      <c r="BB72" s="70">
        <v>98671.7</v>
      </c>
      <c r="BC72" s="70">
        <v>75260.06</v>
      </c>
      <c r="BD72" s="70">
        <v>327555.87</v>
      </c>
      <c r="BE72" s="70">
        <v>672647.2</v>
      </c>
      <c r="BF72" s="70">
        <v>178228.68</v>
      </c>
      <c r="BG72" s="70">
        <v>184211.67</v>
      </c>
      <c r="BH72" s="70">
        <v>101119.05</v>
      </c>
      <c r="BI72" s="70">
        <v>118408.65</v>
      </c>
      <c r="BJ72" s="70">
        <v>189752.57</v>
      </c>
      <c r="BK72" s="70">
        <v>127702.38</v>
      </c>
      <c r="BL72" s="70">
        <v>87236.7</v>
      </c>
      <c r="BM72" s="70">
        <v>96261.91</v>
      </c>
      <c r="BN72" s="70">
        <v>139211.96</v>
      </c>
      <c r="BO72" s="70">
        <v>137507.23</v>
      </c>
      <c r="BP72" s="70">
        <v>27913.84</v>
      </c>
      <c r="BQ72" s="70">
        <v>41198.4</v>
      </c>
      <c r="BR72" s="70">
        <v>16429.9</v>
      </c>
      <c r="BS72" s="70">
        <v>68170.28</v>
      </c>
      <c r="BT72" s="70">
        <v>56593.41</v>
      </c>
      <c r="BU72" s="70">
        <v>83623.19</v>
      </c>
      <c r="BV72" s="70">
        <v>78789.62</v>
      </c>
      <c r="BW72" s="70">
        <v>348111.47</v>
      </c>
      <c r="BX72" s="70">
        <v>15086.77</v>
      </c>
      <c r="BY72" s="70">
        <v>72922.97</v>
      </c>
      <c r="BZ72" s="70">
        <v>29184.28</v>
      </c>
      <c r="CA72" s="70">
        <v>27902.76</v>
      </c>
      <c r="CB72" s="70">
        <v>17508.91</v>
      </c>
      <c r="CC72" s="70">
        <v>19852.93</v>
      </c>
      <c r="CD72" s="70">
        <v>421451.07</v>
      </c>
      <c r="CE72" s="70">
        <v>4920.01</v>
      </c>
      <c r="CF72" s="70">
        <v>1121.29</v>
      </c>
      <c r="CG72" s="70">
        <v>14910.46</v>
      </c>
      <c r="CH72" s="70">
        <v>888.29</v>
      </c>
      <c r="CI72" s="70">
        <v>500.81</v>
      </c>
      <c r="CJ72" s="70">
        <v>1683.68</v>
      </c>
      <c r="CK72" s="70">
        <v>3938.35</v>
      </c>
      <c r="CL72" s="70">
        <v>3415.23</v>
      </c>
      <c r="CM72" s="70">
        <v>8848.16</v>
      </c>
      <c r="CN72" s="70">
        <v>3628.08</v>
      </c>
      <c r="CO72" s="70">
        <v>312.86</v>
      </c>
      <c r="CP72" s="70">
        <v>5398.93</v>
      </c>
      <c r="CQ72" s="70">
        <v>5705.81</v>
      </c>
      <c r="CR72" s="70">
        <v>1761.83</v>
      </c>
      <c r="CS72" s="70">
        <v>4701.23</v>
      </c>
      <c r="CT72" s="70">
        <v>3690.36</v>
      </c>
      <c r="CU72" s="70">
        <v>1123.79</v>
      </c>
      <c r="CV72" s="70">
        <v>3777.53</v>
      </c>
      <c r="CW72" s="70">
        <v>10004.32</v>
      </c>
      <c r="CX72" s="70">
        <v>67.91</v>
      </c>
      <c r="CY72" s="70">
        <v>11901.66</v>
      </c>
      <c r="CZ72" s="70">
        <v>193.31</v>
      </c>
      <c r="DA72" s="70">
        <v>376.3</v>
      </c>
      <c r="DB72" s="70">
        <v>1380.03</v>
      </c>
      <c r="DC72" s="70">
        <v>350.45</v>
      </c>
      <c r="DD72" s="70">
        <f t="shared" ref="DD72:DL72" si="1">SUM(DD67:DD71)</f>
        <v>0</v>
      </c>
      <c r="DE72" s="70">
        <f t="shared" si="1"/>
        <v>0</v>
      </c>
      <c r="DF72" s="70">
        <f t="shared" si="1"/>
        <v>0</v>
      </c>
      <c r="DG72" s="70">
        <f t="shared" si="1"/>
        <v>0</v>
      </c>
      <c r="DH72" s="70">
        <f t="shared" si="1"/>
        <v>0</v>
      </c>
      <c r="DI72" s="70">
        <f t="shared" si="1"/>
        <v>0</v>
      </c>
      <c r="DJ72" s="70">
        <f t="shared" si="1"/>
        <v>0</v>
      </c>
      <c r="DK72" s="70">
        <f t="shared" si="1"/>
        <v>0</v>
      </c>
      <c r="DL72" s="70">
        <f t="shared" si="1"/>
        <v>0</v>
      </c>
    </row>
    <row r="73" spans="1:107">
      <c r="A73" s="57" t="s">
        <v>110</v>
      </c>
      <c r="B73" s="68">
        <v>1895217.84</v>
      </c>
      <c r="C73" s="68">
        <v>739575.18</v>
      </c>
      <c r="D73" s="68">
        <v>409489.79</v>
      </c>
      <c r="E73" s="68">
        <v>121464.81</v>
      </c>
      <c r="F73" s="68">
        <v>70687.75</v>
      </c>
      <c r="G73" s="68">
        <v>26555.14</v>
      </c>
      <c r="H73" s="68">
        <v>270323</v>
      </c>
      <c r="I73" s="68">
        <v>1191</v>
      </c>
      <c r="J73" s="68">
        <v>100211.6</v>
      </c>
      <c r="K73" s="68">
        <v>7388.93</v>
      </c>
      <c r="L73" s="68">
        <v>27173</v>
      </c>
      <c r="M73" s="68">
        <v>1176</v>
      </c>
      <c r="N73" s="68">
        <v>0</v>
      </c>
      <c r="O73" s="68">
        <v>3149</v>
      </c>
      <c r="P73" s="68">
        <v>3405</v>
      </c>
      <c r="Q73" s="68">
        <v>0</v>
      </c>
      <c r="R73" s="68">
        <v>2247</v>
      </c>
      <c r="S73" s="68">
        <v>8112.66</v>
      </c>
      <c r="T73" s="68">
        <v>0</v>
      </c>
      <c r="U73" s="68">
        <v>0</v>
      </c>
      <c r="V73" s="68">
        <v>0</v>
      </c>
      <c r="W73" s="68">
        <v>0</v>
      </c>
      <c r="X73" s="68">
        <v>8232.5</v>
      </c>
      <c r="Y73" s="68">
        <v>0</v>
      </c>
      <c r="Z73" s="68">
        <v>32640.31</v>
      </c>
      <c r="AA73" s="68">
        <v>1661</v>
      </c>
      <c r="AB73" s="68">
        <v>7742</v>
      </c>
      <c r="AC73" s="68">
        <v>26536.5</v>
      </c>
      <c r="AD73" s="68">
        <v>36225.5</v>
      </c>
      <c r="AE73" s="68">
        <v>8427</v>
      </c>
      <c r="AF73" s="68">
        <v>10744</v>
      </c>
      <c r="AG73" s="68">
        <v>327173.23</v>
      </c>
      <c r="AH73" s="68">
        <v>27158.31</v>
      </c>
      <c r="AI73" s="68">
        <v>44414.25</v>
      </c>
      <c r="AJ73" s="68">
        <v>103067.98</v>
      </c>
      <c r="AK73" s="68">
        <v>41527.6</v>
      </c>
      <c r="AL73" s="68">
        <v>27873.35</v>
      </c>
      <c r="AM73" s="68">
        <v>1286.8</v>
      </c>
      <c r="AN73" s="68">
        <v>0</v>
      </c>
      <c r="AO73" s="68">
        <v>4395</v>
      </c>
      <c r="AP73" s="68">
        <v>4173</v>
      </c>
      <c r="AQ73" s="68">
        <v>9276</v>
      </c>
      <c r="AR73" s="68">
        <v>0</v>
      </c>
      <c r="AS73" s="68">
        <v>8379</v>
      </c>
      <c r="AT73" s="68">
        <v>47756.4</v>
      </c>
      <c r="AU73" s="68">
        <v>45998.84</v>
      </c>
      <c r="AV73" s="68">
        <v>28046</v>
      </c>
      <c r="AW73" s="68">
        <v>43194.38</v>
      </c>
      <c r="AX73" s="68">
        <v>4143</v>
      </c>
      <c r="AY73" s="68">
        <v>28772.2</v>
      </c>
      <c r="AZ73" s="68">
        <v>7573</v>
      </c>
      <c r="BA73" s="68">
        <v>7449</v>
      </c>
      <c r="BB73" s="68">
        <v>21807.5</v>
      </c>
      <c r="BC73" s="68">
        <v>17631.5</v>
      </c>
      <c r="BD73" s="68">
        <v>36474.6</v>
      </c>
      <c r="BE73" s="68">
        <v>4294</v>
      </c>
      <c r="BF73" s="68">
        <v>18053</v>
      </c>
      <c r="BG73" s="68">
        <v>23446</v>
      </c>
      <c r="BH73" s="68">
        <v>4564</v>
      </c>
      <c r="BI73" s="68">
        <v>20938</v>
      </c>
      <c r="BJ73" s="68">
        <v>0</v>
      </c>
      <c r="BK73" s="68">
        <v>17283.6</v>
      </c>
      <c r="BL73" s="68">
        <v>2400</v>
      </c>
      <c r="BM73" s="68">
        <v>0</v>
      </c>
      <c r="BN73" s="68">
        <v>14574</v>
      </c>
      <c r="BO73" s="68">
        <v>6273</v>
      </c>
      <c r="BP73" s="68">
        <v>12165.5</v>
      </c>
      <c r="BQ73" s="68">
        <v>39105</v>
      </c>
      <c r="BR73" s="68">
        <v>0</v>
      </c>
      <c r="BS73" s="68">
        <v>0</v>
      </c>
      <c r="BT73" s="68">
        <v>2687</v>
      </c>
      <c r="BU73" s="68">
        <v>3265.4</v>
      </c>
      <c r="BV73" s="68">
        <v>1553</v>
      </c>
      <c r="BW73" s="68">
        <v>3142</v>
      </c>
      <c r="BX73" s="68">
        <v>0</v>
      </c>
      <c r="BY73" s="68">
        <v>5388.6</v>
      </c>
      <c r="BZ73" s="68">
        <v>0</v>
      </c>
      <c r="CA73" s="68">
        <v>0</v>
      </c>
      <c r="CB73" s="68">
        <v>12340</v>
      </c>
      <c r="CC73" s="68">
        <v>30247.7</v>
      </c>
      <c r="CD73" s="68">
        <v>13466.28</v>
      </c>
      <c r="CE73" s="68">
        <v>11459</v>
      </c>
      <c r="CF73" s="68">
        <v>10846</v>
      </c>
      <c r="CG73" s="68">
        <v>6942.3</v>
      </c>
      <c r="CH73" s="68">
        <v>1082</v>
      </c>
      <c r="CI73" s="68">
        <v>41235.36</v>
      </c>
      <c r="CJ73" s="68">
        <v>2397</v>
      </c>
      <c r="CK73" s="68">
        <v>4108</v>
      </c>
      <c r="CL73" s="68">
        <v>234</v>
      </c>
      <c r="CM73" s="68">
        <v>1399</v>
      </c>
      <c r="CN73" s="68">
        <v>0</v>
      </c>
      <c r="CO73" s="68">
        <v>0</v>
      </c>
      <c r="CP73" s="68">
        <v>10138</v>
      </c>
      <c r="CQ73" s="68">
        <v>21606.22</v>
      </c>
      <c r="CR73" s="68">
        <v>557</v>
      </c>
      <c r="CS73" s="68">
        <v>4992</v>
      </c>
      <c r="CT73" s="68">
        <v>7093.9</v>
      </c>
      <c r="CU73" s="68">
        <v>1528</v>
      </c>
      <c r="CV73" s="68">
        <v>0</v>
      </c>
      <c r="CW73" s="68">
        <v>7324</v>
      </c>
      <c r="CX73" s="68">
        <v>23821</v>
      </c>
      <c r="CY73" s="68">
        <v>8597</v>
      </c>
      <c r="CZ73" s="68">
        <v>9816.9</v>
      </c>
      <c r="DA73" s="68">
        <v>3886</v>
      </c>
      <c r="DB73" s="68">
        <v>885</v>
      </c>
      <c r="DC73" s="77">
        <v>9372</v>
      </c>
    </row>
    <row r="74" spans="1:107">
      <c r="A74" s="57" t="s">
        <v>111</v>
      </c>
      <c r="B74" s="68">
        <v>1267550.46</v>
      </c>
      <c r="C74" s="68">
        <v>288484.3</v>
      </c>
      <c r="D74" s="68">
        <v>484007.84</v>
      </c>
      <c r="E74" s="68">
        <v>162454.03</v>
      </c>
      <c r="F74" s="68">
        <v>58814.78</v>
      </c>
      <c r="G74" s="68">
        <v>64901.88</v>
      </c>
      <c r="H74" s="68">
        <v>0</v>
      </c>
      <c r="I74" s="68">
        <v>7000.21</v>
      </c>
      <c r="J74" s="68">
        <v>8967.74</v>
      </c>
      <c r="K74" s="68">
        <v>9697</v>
      </c>
      <c r="L74" s="68">
        <v>13428.08</v>
      </c>
      <c r="M74" s="68">
        <v>23613.94</v>
      </c>
      <c r="N74" s="68">
        <v>0</v>
      </c>
      <c r="O74" s="68">
        <v>0</v>
      </c>
      <c r="P74" s="68">
        <v>2370</v>
      </c>
      <c r="Q74" s="68">
        <v>14816</v>
      </c>
      <c r="R74" s="68">
        <v>21259.03</v>
      </c>
      <c r="S74" s="68">
        <v>49480.33</v>
      </c>
      <c r="T74" s="68">
        <v>4143.5</v>
      </c>
      <c r="U74" s="68">
        <v>4467.06</v>
      </c>
      <c r="V74" s="68">
        <v>0</v>
      </c>
      <c r="W74" s="68">
        <v>0</v>
      </c>
      <c r="X74" s="68">
        <v>15296.75</v>
      </c>
      <c r="Y74" s="68">
        <v>2458.4</v>
      </c>
      <c r="Z74" s="68">
        <v>70934.19</v>
      </c>
      <c r="AA74" s="68">
        <v>2115.58</v>
      </c>
      <c r="AB74" s="68">
        <v>11199.7</v>
      </c>
      <c r="AC74" s="68">
        <v>15237.62</v>
      </c>
      <c r="AD74" s="68">
        <v>25203.69</v>
      </c>
      <c r="AE74" s="68">
        <v>20008.1</v>
      </c>
      <c r="AF74" s="68">
        <v>25941</v>
      </c>
      <c r="AG74" s="68">
        <v>303958.14</v>
      </c>
      <c r="AH74" s="68">
        <v>70447.24</v>
      </c>
      <c r="AI74" s="68">
        <v>83661.46</v>
      </c>
      <c r="AJ74" s="68">
        <v>48867.74</v>
      </c>
      <c r="AK74" s="68">
        <v>26530.09</v>
      </c>
      <c r="AL74" s="68">
        <v>11745.17</v>
      </c>
      <c r="AM74" s="68">
        <v>20539.52</v>
      </c>
      <c r="AN74" s="68">
        <v>777</v>
      </c>
      <c r="AO74" s="68">
        <v>711.32</v>
      </c>
      <c r="AP74" s="68">
        <v>28494.51</v>
      </c>
      <c r="AQ74" s="68">
        <v>30190.82</v>
      </c>
      <c r="AR74" s="68">
        <v>3782.5</v>
      </c>
      <c r="AS74" s="68">
        <v>14053.08</v>
      </c>
      <c r="AT74" s="68">
        <v>7170</v>
      </c>
      <c r="AU74" s="68">
        <v>8183</v>
      </c>
      <c r="AV74" s="68">
        <v>0</v>
      </c>
      <c r="AW74" s="68">
        <v>11183.39</v>
      </c>
      <c r="AX74" s="68">
        <v>1421</v>
      </c>
      <c r="AY74" s="68">
        <v>3170.5</v>
      </c>
      <c r="AZ74" s="68">
        <v>477</v>
      </c>
      <c r="BA74" s="68">
        <v>16606.5</v>
      </c>
      <c r="BB74" s="68">
        <v>11098.5</v>
      </c>
      <c r="BC74" s="68">
        <v>4303.5</v>
      </c>
      <c r="BD74" s="68">
        <v>18216.34</v>
      </c>
      <c r="BE74" s="68">
        <v>3349</v>
      </c>
      <c r="BF74" s="68">
        <v>1450.8</v>
      </c>
      <c r="BG74" s="68">
        <v>9114.08</v>
      </c>
      <c r="BH74" s="68">
        <v>3046.21</v>
      </c>
      <c r="BI74" s="68">
        <v>9472.85</v>
      </c>
      <c r="BJ74" s="68">
        <v>0</v>
      </c>
      <c r="BK74" s="68">
        <v>3621.61</v>
      </c>
      <c r="BL74" s="68">
        <v>0</v>
      </c>
      <c r="BM74" s="68">
        <v>0</v>
      </c>
      <c r="BN74" s="68">
        <v>1654</v>
      </c>
      <c r="BO74" s="68">
        <v>9563.5</v>
      </c>
      <c r="BP74" s="68">
        <v>5658.92</v>
      </c>
      <c r="BQ74" s="68">
        <v>0</v>
      </c>
      <c r="BR74" s="68">
        <v>0</v>
      </c>
      <c r="BS74" s="68">
        <v>0</v>
      </c>
      <c r="BT74" s="68">
        <v>0</v>
      </c>
      <c r="BU74" s="68">
        <v>1856.5</v>
      </c>
      <c r="BV74" s="68">
        <v>0</v>
      </c>
      <c r="BW74" s="68">
        <v>595.28</v>
      </c>
      <c r="BX74" s="68">
        <v>623</v>
      </c>
      <c r="BY74" s="68">
        <v>4957</v>
      </c>
      <c r="BZ74" s="68">
        <v>0</v>
      </c>
      <c r="CA74" s="68">
        <v>0</v>
      </c>
      <c r="CB74" s="68">
        <v>0</v>
      </c>
      <c r="CC74" s="68">
        <v>3435.5</v>
      </c>
      <c r="CD74" s="68">
        <v>3529</v>
      </c>
      <c r="CE74" s="68">
        <v>3350</v>
      </c>
      <c r="CF74" s="68">
        <v>1935.5</v>
      </c>
      <c r="CG74" s="68">
        <v>5029.68</v>
      </c>
      <c r="CH74" s="68">
        <v>3284.9</v>
      </c>
      <c r="CI74" s="68">
        <v>3755</v>
      </c>
      <c r="CJ74" s="68">
        <v>1884.5</v>
      </c>
      <c r="CK74" s="68">
        <v>3279</v>
      </c>
      <c r="CL74" s="68">
        <v>0</v>
      </c>
      <c r="CM74" s="68">
        <v>2023</v>
      </c>
      <c r="CN74" s="68">
        <v>0</v>
      </c>
      <c r="CO74" s="68">
        <v>2682</v>
      </c>
      <c r="CP74" s="68">
        <v>3665.5</v>
      </c>
      <c r="CQ74" s="68">
        <v>1509.5</v>
      </c>
      <c r="CR74" s="68">
        <v>8148.5</v>
      </c>
      <c r="CS74" s="68">
        <v>797.6</v>
      </c>
      <c r="CT74" s="68">
        <v>2693.9</v>
      </c>
      <c r="CU74" s="68">
        <v>1613</v>
      </c>
      <c r="CV74" s="68">
        <v>0</v>
      </c>
      <c r="CW74" s="68">
        <v>0</v>
      </c>
      <c r="CX74" s="68">
        <v>2350</v>
      </c>
      <c r="CY74" s="68">
        <v>8649.8</v>
      </c>
      <c r="CZ74" s="68">
        <v>3985.4</v>
      </c>
      <c r="DA74" s="68">
        <v>2617.78</v>
      </c>
      <c r="DB74" s="68">
        <v>1666</v>
      </c>
      <c r="DC74" s="77">
        <v>2574.53</v>
      </c>
    </row>
    <row r="75" spans="1:107">
      <c r="A75" s="57" t="s">
        <v>112</v>
      </c>
      <c r="B75" s="68">
        <v>491910.59</v>
      </c>
      <c r="C75" s="68">
        <v>197928.18</v>
      </c>
      <c r="D75" s="68">
        <v>202100.83</v>
      </c>
      <c r="E75" s="68">
        <v>6946.63</v>
      </c>
      <c r="F75" s="68">
        <v>2509.71</v>
      </c>
      <c r="G75" s="68">
        <v>6567.8</v>
      </c>
      <c r="H75" s="68">
        <v>310.9</v>
      </c>
      <c r="I75" s="68">
        <v>1000</v>
      </c>
      <c r="J75" s="68">
        <v>63159.62</v>
      </c>
      <c r="K75" s="68">
        <v>4784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223.92</v>
      </c>
      <c r="S75" s="68">
        <v>3827</v>
      </c>
      <c r="T75" s="68">
        <v>0</v>
      </c>
      <c r="U75" s="68">
        <v>0</v>
      </c>
      <c r="V75" s="68">
        <v>0</v>
      </c>
      <c r="W75" s="68">
        <v>0</v>
      </c>
      <c r="X75" s="68">
        <v>1046.87</v>
      </c>
      <c r="Y75" s="68">
        <v>0</v>
      </c>
      <c r="Z75" s="68">
        <v>1392.19</v>
      </c>
      <c r="AA75" s="68">
        <v>0</v>
      </c>
      <c r="AB75" s="68">
        <v>898.19</v>
      </c>
      <c r="AC75" s="68">
        <v>935.19</v>
      </c>
      <c r="AD75" s="68">
        <v>2674.19</v>
      </c>
      <c r="AE75" s="68">
        <v>0</v>
      </c>
      <c r="AF75" s="68">
        <v>1930</v>
      </c>
      <c r="AG75" s="68">
        <v>156271.1</v>
      </c>
      <c r="AH75" s="68">
        <v>26030</v>
      </c>
      <c r="AI75" s="68">
        <v>17869.73</v>
      </c>
      <c r="AJ75" s="68">
        <v>2552</v>
      </c>
      <c r="AK75" s="68">
        <v>1462.81</v>
      </c>
      <c r="AL75" s="68">
        <v>0</v>
      </c>
      <c r="AM75" s="68">
        <v>1046.9</v>
      </c>
      <c r="AN75" s="68">
        <v>0</v>
      </c>
      <c r="AO75" s="68">
        <v>0</v>
      </c>
      <c r="AP75" s="68">
        <v>316</v>
      </c>
      <c r="AQ75" s="68">
        <v>0</v>
      </c>
      <c r="AR75" s="68">
        <v>0</v>
      </c>
      <c r="AS75" s="68">
        <v>0</v>
      </c>
      <c r="AT75" s="68">
        <v>23604</v>
      </c>
      <c r="AU75" s="68">
        <v>10396</v>
      </c>
      <c r="AV75" s="68">
        <v>2700</v>
      </c>
      <c r="AW75" s="68">
        <v>12755.99</v>
      </c>
      <c r="AX75" s="68">
        <v>7562.79</v>
      </c>
      <c r="AY75" s="68">
        <v>14975.64</v>
      </c>
      <c r="AZ75" s="68">
        <v>0</v>
      </c>
      <c r="BA75" s="68">
        <v>1984.5</v>
      </c>
      <c r="BB75" s="68">
        <v>2905.47</v>
      </c>
      <c r="BC75" s="68">
        <v>90.2</v>
      </c>
      <c r="BD75" s="68">
        <v>16714.9</v>
      </c>
      <c r="BE75" s="68">
        <v>2801.8</v>
      </c>
      <c r="BF75" s="68">
        <v>5920.5</v>
      </c>
      <c r="BG75" s="68">
        <v>1215.9</v>
      </c>
      <c r="BH75" s="68">
        <v>2655.81</v>
      </c>
      <c r="BI75" s="68">
        <v>0</v>
      </c>
      <c r="BJ75" s="68">
        <v>0</v>
      </c>
      <c r="BK75" s="68">
        <v>13150.7</v>
      </c>
      <c r="BL75" s="68">
        <v>0</v>
      </c>
      <c r="BM75" s="68">
        <v>0</v>
      </c>
      <c r="BN75" s="68">
        <v>12786</v>
      </c>
      <c r="BO75" s="68">
        <v>5951</v>
      </c>
      <c r="BP75" s="68">
        <v>3132.6</v>
      </c>
      <c r="BQ75" s="68">
        <v>3424.28</v>
      </c>
      <c r="BR75" s="68">
        <v>0</v>
      </c>
      <c r="BS75" s="68">
        <v>0</v>
      </c>
      <c r="BT75" s="68">
        <v>0</v>
      </c>
      <c r="BU75" s="68">
        <v>620.3</v>
      </c>
      <c r="BV75" s="68">
        <v>767.5</v>
      </c>
      <c r="BW75" s="68">
        <v>150</v>
      </c>
      <c r="BX75" s="68">
        <v>537.46</v>
      </c>
      <c r="BY75" s="68">
        <v>9219</v>
      </c>
      <c r="BZ75" s="68">
        <v>0</v>
      </c>
      <c r="CA75" s="68">
        <v>0</v>
      </c>
      <c r="CB75" s="68">
        <v>0</v>
      </c>
      <c r="CC75" s="68">
        <v>3918.3</v>
      </c>
      <c r="CD75" s="68">
        <v>0</v>
      </c>
      <c r="CE75" s="68">
        <v>2059.7</v>
      </c>
      <c r="CF75" s="68">
        <v>1179.7</v>
      </c>
      <c r="CG75" s="68">
        <v>1334</v>
      </c>
      <c r="CH75" s="68">
        <v>293.97</v>
      </c>
      <c r="CI75" s="68">
        <v>540.3</v>
      </c>
      <c r="CJ75" s="68">
        <v>0</v>
      </c>
      <c r="CK75" s="68">
        <v>0</v>
      </c>
      <c r="CL75" s="68">
        <v>0</v>
      </c>
      <c r="CM75" s="68">
        <v>0</v>
      </c>
      <c r="CN75" s="68">
        <v>0</v>
      </c>
      <c r="CO75" s="68">
        <v>3379.3</v>
      </c>
      <c r="CP75" s="68">
        <v>1526.9</v>
      </c>
      <c r="CQ75" s="68">
        <v>452.9</v>
      </c>
      <c r="CR75" s="68">
        <v>4998.9</v>
      </c>
      <c r="CS75" s="68">
        <v>1178.68</v>
      </c>
      <c r="CT75" s="68">
        <v>0</v>
      </c>
      <c r="CU75" s="68">
        <v>3400.65</v>
      </c>
      <c r="CV75" s="68">
        <v>0</v>
      </c>
      <c r="CW75" s="68">
        <v>5913.9</v>
      </c>
      <c r="CX75" s="68">
        <v>123</v>
      </c>
      <c r="CY75" s="68">
        <v>0</v>
      </c>
      <c r="CZ75" s="68">
        <v>4304</v>
      </c>
      <c r="DA75" s="68">
        <v>2334.13</v>
      </c>
      <c r="DB75" s="68">
        <v>0</v>
      </c>
      <c r="DC75" s="77">
        <v>4651.51</v>
      </c>
    </row>
    <row r="76" spans="1:107">
      <c r="A76" s="57" t="s">
        <v>113</v>
      </c>
      <c r="B76" s="68">
        <v>144195.46</v>
      </c>
      <c r="C76" s="68">
        <v>69619.45</v>
      </c>
      <c r="D76" s="68">
        <v>52170</v>
      </c>
      <c r="E76" s="68">
        <v>480</v>
      </c>
      <c r="F76" s="68">
        <v>0</v>
      </c>
      <c r="G76" s="68">
        <v>0</v>
      </c>
      <c r="H76" s="68">
        <v>0</v>
      </c>
      <c r="I76" s="68">
        <v>0</v>
      </c>
      <c r="J76" s="68">
        <v>3430</v>
      </c>
      <c r="K76" s="68">
        <v>4670.37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13825.64</v>
      </c>
      <c r="V76" s="68">
        <v>0</v>
      </c>
      <c r="W76" s="68">
        <v>0</v>
      </c>
      <c r="X76" s="68">
        <v>0</v>
      </c>
      <c r="Y76" s="68">
        <v>0</v>
      </c>
      <c r="Z76" s="68">
        <v>480</v>
      </c>
      <c r="AA76" s="68">
        <v>0</v>
      </c>
      <c r="AB76" s="68">
        <v>0</v>
      </c>
      <c r="AC76" s="68">
        <v>0</v>
      </c>
      <c r="AD76" s="68">
        <v>0</v>
      </c>
      <c r="AE76" s="68">
        <v>0</v>
      </c>
      <c r="AF76" s="68">
        <v>0</v>
      </c>
      <c r="AG76" s="68">
        <v>42121</v>
      </c>
      <c r="AH76" s="68">
        <v>9410</v>
      </c>
      <c r="AI76" s="68">
        <v>639</v>
      </c>
      <c r="AJ76" s="68">
        <v>0</v>
      </c>
      <c r="AK76" s="68">
        <v>0</v>
      </c>
      <c r="AL76" s="68">
        <v>0</v>
      </c>
      <c r="AM76" s="68">
        <v>0</v>
      </c>
      <c r="AN76" s="68">
        <v>0</v>
      </c>
      <c r="AO76" s="68">
        <v>0</v>
      </c>
      <c r="AP76" s="68">
        <v>750</v>
      </c>
      <c r="AQ76" s="68">
        <v>0</v>
      </c>
      <c r="AR76" s="68">
        <v>0</v>
      </c>
      <c r="AS76" s="68">
        <v>0</v>
      </c>
      <c r="AT76" s="68">
        <v>0</v>
      </c>
      <c r="AU76" s="68">
        <v>0</v>
      </c>
      <c r="AV76" s="68">
        <v>2495</v>
      </c>
      <c r="AW76" s="68">
        <v>3085.47</v>
      </c>
      <c r="AX76" s="68">
        <v>3573.5</v>
      </c>
      <c r="AY76" s="68">
        <v>780.6</v>
      </c>
      <c r="AZ76" s="68">
        <v>0</v>
      </c>
      <c r="BA76" s="68">
        <v>9295</v>
      </c>
      <c r="BB76" s="68">
        <v>4791.56</v>
      </c>
      <c r="BC76" s="68">
        <v>1778.42</v>
      </c>
      <c r="BD76" s="68">
        <v>358.37</v>
      </c>
      <c r="BE76" s="68">
        <v>0</v>
      </c>
      <c r="BF76" s="68">
        <v>400</v>
      </c>
      <c r="BG76" s="68">
        <v>0</v>
      </c>
      <c r="BH76" s="68">
        <v>3742.92</v>
      </c>
      <c r="BI76" s="68">
        <v>0</v>
      </c>
      <c r="BJ76" s="68">
        <v>0</v>
      </c>
      <c r="BK76" s="68">
        <v>1691</v>
      </c>
      <c r="BL76" s="68">
        <v>0</v>
      </c>
      <c r="BM76" s="68">
        <v>0</v>
      </c>
      <c r="BN76" s="68">
        <v>0</v>
      </c>
      <c r="BO76" s="68">
        <v>2347.52</v>
      </c>
      <c r="BP76" s="68">
        <v>0</v>
      </c>
      <c r="BQ76" s="68">
        <v>0</v>
      </c>
      <c r="BR76" s="68">
        <v>0</v>
      </c>
      <c r="BS76" s="68">
        <v>0</v>
      </c>
      <c r="BT76" s="68">
        <v>0</v>
      </c>
      <c r="BU76" s="68">
        <v>1059.5</v>
      </c>
      <c r="BV76" s="68">
        <v>0</v>
      </c>
      <c r="BW76" s="68">
        <v>1082.05</v>
      </c>
      <c r="BX76" s="68">
        <v>190</v>
      </c>
      <c r="BY76" s="68">
        <v>10163</v>
      </c>
      <c r="BZ76" s="68">
        <v>0</v>
      </c>
      <c r="CA76" s="68">
        <v>0</v>
      </c>
      <c r="CB76" s="68">
        <v>0</v>
      </c>
      <c r="CC76" s="68">
        <v>0</v>
      </c>
      <c r="CD76" s="68">
        <v>335.24</v>
      </c>
      <c r="CE76" s="68">
        <v>2023.6</v>
      </c>
      <c r="CF76" s="68">
        <v>0</v>
      </c>
      <c r="CG76" s="68">
        <v>0</v>
      </c>
      <c r="CH76" s="68">
        <v>0</v>
      </c>
      <c r="CI76" s="68">
        <v>6538.5</v>
      </c>
      <c r="CJ76" s="68">
        <v>0</v>
      </c>
      <c r="CK76" s="68">
        <v>0</v>
      </c>
      <c r="CL76" s="68">
        <v>0</v>
      </c>
      <c r="CM76" s="68">
        <v>0</v>
      </c>
      <c r="CN76" s="68">
        <v>0</v>
      </c>
      <c r="CO76" s="68">
        <v>0</v>
      </c>
      <c r="CP76" s="68">
        <v>2399.4</v>
      </c>
      <c r="CQ76" s="68">
        <v>1000</v>
      </c>
      <c r="CR76" s="68">
        <v>0</v>
      </c>
      <c r="CS76" s="68">
        <v>0</v>
      </c>
      <c r="CT76" s="68">
        <v>2646.8</v>
      </c>
      <c r="CU76" s="68">
        <v>1894</v>
      </c>
      <c r="CV76" s="68">
        <v>0</v>
      </c>
      <c r="CW76" s="68">
        <v>1600</v>
      </c>
      <c r="CX76" s="68">
        <v>0</v>
      </c>
      <c r="CY76" s="68">
        <v>368</v>
      </c>
      <c r="CZ76" s="68">
        <v>1730</v>
      </c>
      <c r="DA76" s="68">
        <v>1500</v>
      </c>
      <c r="DB76" s="68">
        <v>0</v>
      </c>
      <c r="DC76" s="77">
        <v>0</v>
      </c>
    </row>
    <row r="77" spans="1:107">
      <c r="A77" s="57" t="s">
        <v>114</v>
      </c>
      <c r="B77" s="68">
        <v>193295.3</v>
      </c>
      <c r="C77" s="68">
        <v>59443.54</v>
      </c>
      <c r="D77" s="68">
        <v>3800</v>
      </c>
      <c r="E77" s="68">
        <v>0</v>
      </c>
      <c r="F77" s="68">
        <v>0</v>
      </c>
      <c r="G77" s="68">
        <v>0</v>
      </c>
      <c r="H77" s="68">
        <v>110968.94</v>
      </c>
      <c r="I77" s="68">
        <v>17572.82</v>
      </c>
      <c r="J77" s="68">
        <v>1510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68">
        <v>0</v>
      </c>
      <c r="AD77" s="68">
        <v>0</v>
      </c>
      <c r="AE77" s="68">
        <v>0</v>
      </c>
      <c r="AF77" s="68">
        <v>3800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  <c r="AN77" s="68">
        <v>0</v>
      </c>
      <c r="AO77" s="68">
        <v>0</v>
      </c>
      <c r="AP77" s="68">
        <v>0</v>
      </c>
      <c r="AQ77" s="68">
        <v>0</v>
      </c>
      <c r="AR77" s="68">
        <v>0</v>
      </c>
      <c r="AS77" s="68">
        <v>0</v>
      </c>
      <c r="AT77" s="68">
        <v>0</v>
      </c>
      <c r="AU77" s="68">
        <v>0</v>
      </c>
      <c r="AV77" s="68">
        <v>0</v>
      </c>
      <c r="AW77" s="68">
        <v>14532.04</v>
      </c>
      <c r="AX77" s="68">
        <v>0</v>
      </c>
      <c r="AY77" s="68">
        <v>0</v>
      </c>
      <c r="AZ77" s="68">
        <v>0</v>
      </c>
      <c r="BA77" s="68">
        <v>0</v>
      </c>
      <c r="BB77" s="68">
        <v>0</v>
      </c>
      <c r="BC77" s="68">
        <v>0</v>
      </c>
      <c r="BD77" s="68">
        <v>3350</v>
      </c>
      <c r="BE77" s="68">
        <v>5631.07</v>
      </c>
      <c r="BF77" s="68">
        <v>0</v>
      </c>
      <c r="BG77" s="68">
        <v>0</v>
      </c>
      <c r="BH77" s="68">
        <v>0</v>
      </c>
      <c r="BI77" s="68">
        <v>0</v>
      </c>
      <c r="BJ77" s="68">
        <v>0</v>
      </c>
      <c r="BK77" s="68">
        <v>6833.4</v>
      </c>
      <c r="BL77" s="68">
        <v>0</v>
      </c>
      <c r="BM77" s="68">
        <v>0</v>
      </c>
      <c r="BN77" s="68">
        <v>0</v>
      </c>
      <c r="BO77" s="68">
        <v>0</v>
      </c>
      <c r="BP77" s="68">
        <v>0</v>
      </c>
      <c r="BQ77" s="68">
        <v>240</v>
      </c>
      <c r="BR77" s="68">
        <v>2333.33</v>
      </c>
      <c r="BS77" s="68">
        <v>0</v>
      </c>
      <c r="BT77" s="68">
        <v>0</v>
      </c>
      <c r="BU77" s="68">
        <v>0</v>
      </c>
      <c r="BV77" s="68">
        <v>-188.3</v>
      </c>
      <c r="BW77" s="68">
        <v>0</v>
      </c>
      <c r="BX77" s="68">
        <v>0</v>
      </c>
      <c r="BY77" s="68">
        <v>0</v>
      </c>
      <c r="BZ77" s="68">
        <v>0</v>
      </c>
      <c r="CA77" s="68">
        <v>0</v>
      </c>
      <c r="CB77" s="68">
        <v>0</v>
      </c>
      <c r="CC77" s="68">
        <v>0</v>
      </c>
      <c r="CD77" s="68">
        <v>3519</v>
      </c>
      <c r="CE77" s="68">
        <v>0</v>
      </c>
      <c r="CF77" s="68">
        <v>4041</v>
      </c>
      <c r="CG77" s="68">
        <v>0</v>
      </c>
      <c r="CH77" s="68">
        <v>0</v>
      </c>
      <c r="CI77" s="68">
        <v>9181</v>
      </c>
      <c r="CJ77" s="68">
        <v>0</v>
      </c>
      <c r="CK77" s="68">
        <v>300</v>
      </c>
      <c r="CL77" s="68">
        <v>0</v>
      </c>
      <c r="CM77" s="68">
        <v>0</v>
      </c>
      <c r="CN77" s="68">
        <v>0</v>
      </c>
      <c r="CO77" s="68">
        <v>0</v>
      </c>
      <c r="CP77" s="68">
        <v>0</v>
      </c>
      <c r="CQ77" s="68">
        <v>0</v>
      </c>
      <c r="CR77" s="68">
        <v>0</v>
      </c>
      <c r="CS77" s="68">
        <v>0</v>
      </c>
      <c r="CT77" s="68">
        <v>0</v>
      </c>
      <c r="CU77" s="68">
        <v>340</v>
      </c>
      <c r="CV77" s="68">
        <v>0</v>
      </c>
      <c r="CW77" s="68">
        <v>0</v>
      </c>
      <c r="CX77" s="68">
        <v>0</v>
      </c>
      <c r="CY77" s="68">
        <v>779</v>
      </c>
      <c r="CZ77" s="68">
        <v>2000</v>
      </c>
      <c r="DA77" s="68">
        <v>0</v>
      </c>
      <c r="DB77" s="68">
        <v>0</v>
      </c>
      <c r="DC77" s="77">
        <v>6552</v>
      </c>
    </row>
    <row r="78" spans="1:107">
      <c r="A78" s="57" t="s">
        <v>115</v>
      </c>
      <c r="B78" s="68">
        <v>-185547.17</v>
      </c>
      <c r="C78" s="68">
        <v>3698.11</v>
      </c>
      <c r="D78" s="68">
        <v>0</v>
      </c>
      <c r="E78" s="68">
        <v>-260000</v>
      </c>
      <c r="F78" s="68">
        <v>70754.72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  <c r="Y78" s="68">
        <v>0</v>
      </c>
      <c r="Z78" s="68">
        <v>-260000</v>
      </c>
      <c r="AA78" s="68">
        <v>0</v>
      </c>
      <c r="AB78" s="68">
        <v>0</v>
      </c>
      <c r="AC78" s="68">
        <v>0</v>
      </c>
      <c r="AD78" s="68">
        <v>0</v>
      </c>
      <c r="AE78" s="68">
        <v>0</v>
      </c>
      <c r="AF78" s="68">
        <v>0</v>
      </c>
      <c r="AG78" s="68">
        <v>0</v>
      </c>
      <c r="AH78" s="68">
        <v>0</v>
      </c>
      <c r="AI78" s="68">
        <v>0</v>
      </c>
      <c r="AJ78" s="68">
        <v>0</v>
      </c>
      <c r="AK78" s="68">
        <v>70754.72</v>
      </c>
      <c r="AL78" s="68">
        <v>0</v>
      </c>
      <c r="AM78" s="68">
        <v>0</v>
      </c>
      <c r="AN78" s="68">
        <v>0</v>
      </c>
      <c r="AO78" s="68">
        <v>3698.11</v>
      </c>
      <c r="AP78" s="68">
        <v>0</v>
      </c>
      <c r="AQ78" s="68">
        <v>0</v>
      </c>
      <c r="AR78" s="68">
        <v>0</v>
      </c>
      <c r="AS78" s="68">
        <v>0</v>
      </c>
      <c r="AT78" s="68">
        <v>0</v>
      </c>
      <c r="AU78" s="68">
        <v>0</v>
      </c>
      <c r="AV78" s="68">
        <v>0</v>
      </c>
      <c r="AW78" s="68">
        <v>0</v>
      </c>
      <c r="AX78" s="68">
        <v>0</v>
      </c>
      <c r="AY78" s="68">
        <v>0</v>
      </c>
      <c r="AZ78" s="68">
        <v>0</v>
      </c>
      <c r="BA78" s="68">
        <v>0</v>
      </c>
      <c r="BB78" s="68">
        <v>0</v>
      </c>
      <c r="BC78" s="68">
        <v>0</v>
      </c>
      <c r="BD78" s="68">
        <v>0</v>
      </c>
      <c r="BE78" s="68">
        <v>0</v>
      </c>
      <c r="BF78" s="68">
        <v>0</v>
      </c>
      <c r="BG78" s="68">
        <v>0</v>
      </c>
      <c r="BH78" s="68">
        <v>0</v>
      </c>
      <c r="BI78" s="68">
        <v>0</v>
      </c>
      <c r="BJ78" s="68">
        <v>0</v>
      </c>
      <c r="BK78" s="68">
        <v>0</v>
      </c>
      <c r="BL78" s="68">
        <v>0</v>
      </c>
      <c r="BM78" s="68">
        <v>0</v>
      </c>
      <c r="BN78" s="68">
        <v>0</v>
      </c>
      <c r="BO78" s="68">
        <v>0</v>
      </c>
      <c r="BP78" s="68">
        <v>0</v>
      </c>
      <c r="BQ78" s="68">
        <v>0</v>
      </c>
      <c r="BR78" s="68">
        <v>0</v>
      </c>
      <c r="BS78" s="68">
        <v>0</v>
      </c>
      <c r="BT78" s="68">
        <v>0</v>
      </c>
      <c r="BU78" s="68">
        <v>0</v>
      </c>
      <c r="BV78" s="68">
        <v>0</v>
      </c>
      <c r="BW78" s="68">
        <v>0</v>
      </c>
      <c r="BX78" s="68">
        <v>0</v>
      </c>
      <c r="BY78" s="68">
        <v>0</v>
      </c>
      <c r="BZ78" s="68">
        <v>0</v>
      </c>
      <c r="CA78" s="68">
        <v>0</v>
      </c>
      <c r="CB78" s="68">
        <v>0</v>
      </c>
      <c r="CC78" s="68">
        <v>0</v>
      </c>
      <c r="CD78" s="68">
        <v>0</v>
      </c>
      <c r="CE78" s="68">
        <v>0</v>
      </c>
      <c r="CF78" s="68">
        <v>0</v>
      </c>
      <c r="CG78" s="68">
        <v>0</v>
      </c>
      <c r="CH78" s="68">
        <v>0</v>
      </c>
      <c r="CI78" s="68">
        <v>0</v>
      </c>
      <c r="CJ78" s="68">
        <v>0</v>
      </c>
      <c r="CK78" s="68">
        <v>0</v>
      </c>
      <c r="CL78" s="68">
        <v>0</v>
      </c>
      <c r="CM78" s="68">
        <v>0</v>
      </c>
      <c r="CN78" s="68">
        <v>0</v>
      </c>
      <c r="CO78" s="68">
        <v>0</v>
      </c>
      <c r="CP78" s="68">
        <v>0</v>
      </c>
      <c r="CQ78" s="68">
        <v>0</v>
      </c>
      <c r="CR78" s="68">
        <v>0</v>
      </c>
      <c r="CS78" s="68">
        <v>0</v>
      </c>
      <c r="CT78" s="68">
        <v>0</v>
      </c>
      <c r="CU78" s="68">
        <v>0</v>
      </c>
      <c r="CV78" s="68">
        <v>0</v>
      </c>
      <c r="CW78" s="68">
        <v>0</v>
      </c>
      <c r="CX78" s="68">
        <v>0</v>
      </c>
      <c r="CY78" s="68">
        <v>0</v>
      </c>
      <c r="CZ78" s="68">
        <v>0</v>
      </c>
      <c r="DA78" s="68">
        <v>0</v>
      </c>
      <c r="DB78" s="68">
        <v>0</v>
      </c>
      <c r="DC78" s="77">
        <v>0</v>
      </c>
    </row>
    <row r="79" spans="1:107">
      <c r="A79" s="57" t="s">
        <v>116</v>
      </c>
      <c r="B79" s="68">
        <v>423036.14</v>
      </c>
      <c r="C79" s="68">
        <v>116177.13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229932.59</v>
      </c>
      <c r="K79" s="68">
        <v>0</v>
      </c>
      <c r="L79" s="68">
        <v>0</v>
      </c>
      <c r="M79" s="68">
        <v>0</v>
      </c>
      <c r="N79" s="68">
        <v>0</v>
      </c>
      <c r="O79" s="68">
        <v>70226.42</v>
      </c>
      <c r="P79" s="68">
        <v>0</v>
      </c>
      <c r="Q79" s="68">
        <v>0</v>
      </c>
      <c r="R79" s="68">
        <v>0</v>
      </c>
      <c r="S79" s="68">
        <v>6700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68">
        <v>0</v>
      </c>
      <c r="AD79" s="68">
        <v>0</v>
      </c>
      <c r="AE79" s="68">
        <v>0</v>
      </c>
      <c r="AF79" s="68">
        <v>0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88448.51</v>
      </c>
      <c r="AP79" s="68">
        <v>0</v>
      </c>
      <c r="AQ79" s="68">
        <v>0</v>
      </c>
      <c r="AR79" s="68">
        <v>0</v>
      </c>
      <c r="AS79" s="68">
        <v>21879.56</v>
      </c>
      <c r="AT79" s="68">
        <v>0</v>
      </c>
      <c r="AU79" s="68">
        <v>0</v>
      </c>
      <c r="AV79" s="68">
        <v>5849.06</v>
      </c>
      <c r="AW79" s="68">
        <v>0</v>
      </c>
      <c r="AX79" s="68">
        <v>0</v>
      </c>
      <c r="AY79" s="68">
        <v>0</v>
      </c>
      <c r="AZ79" s="68">
        <v>0</v>
      </c>
      <c r="BA79" s="68">
        <v>0</v>
      </c>
      <c r="BB79" s="68">
        <v>0</v>
      </c>
      <c r="BC79" s="68">
        <v>0</v>
      </c>
      <c r="BD79" s="68">
        <v>0</v>
      </c>
      <c r="BE79" s="68">
        <v>0</v>
      </c>
      <c r="BF79" s="68">
        <v>0</v>
      </c>
      <c r="BG79" s="68">
        <v>0</v>
      </c>
      <c r="BH79" s="68">
        <v>0</v>
      </c>
      <c r="BI79" s="68">
        <v>0</v>
      </c>
      <c r="BJ79" s="68">
        <v>0</v>
      </c>
      <c r="BK79" s="68">
        <v>0</v>
      </c>
      <c r="BL79" s="68">
        <v>0</v>
      </c>
      <c r="BM79" s="68">
        <v>0</v>
      </c>
      <c r="BN79" s="68">
        <v>0</v>
      </c>
      <c r="BO79" s="68">
        <v>0</v>
      </c>
      <c r="BP79" s="68">
        <v>0</v>
      </c>
      <c r="BQ79" s="68">
        <v>0</v>
      </c>
      <c r="BR79" s="68">
        <v>0</v>
      </c>
      <c r="BS79" s="68">
        <v>0</v>
      </c>
      <c r="BT79" s="68">
        <v>0</v>
      </c>
      <c r="BU79" s="68">
        <v>0</v>
      </c>
      <c r="BV79" s="68">
        <v>0</v>
      </c>
      <c r="BW79" s="68">
        <v>0</v>
      </c>
      <c r="BX79" s="68">
        <v>0</v>
      </c>
      <c r="BY79" s="68">
        <v>0</v>
      </c>
      <c r="BZ79" s="68">
        <v>0</v>
      </c>
      <c r="CA79" s="68">
        <v>0</v>
      </c>
      <c r="CB79" s="68">
        <v>0</v>
      </c>
      <c r="CC79" s="68">
        <v>0</v>
      </c>
      <c r="CD79" s="68">
        <v>0</v>
      </c>
      <c r="CE79" s="68">
        <v>0</v>
      </c>
      <c r="CF79" s="68">
        <v>0</v>
      </c>
      <c r="CG79" s="68">
        <v>0</v>
      </c>
      <c r="CH79" s="68">
        <v>0</v>
      </c>
      <c r="CI79" s="68">
        <v>0</v>
      </c>
      <c r="CJ79" s="68">
        <v>0</v>
      </c>
      <c r="CK79" s="68">
        <v>0</v>
      </c>
      <c r="CL79" s="68">
        <v>0</v>
      </c>
      <c r="CM79" s="68">
        <v>0</v>
      </c>
      <c r="CN79" s="68">
        <v>0</v>
      </c>
      <c r="CO79" s="68">
        <v>0</v>
      </c>
      <c r="CP79" s="68">
        <v>0</v>
      </c>
      <c r="CQ79" s="68">
        <v>0</v>
      </c>
      <c r="CR79" s="68">
        <v>0</v>
      </c>
      <c r="CS79" s="68">
        <v>0</v>
      </c>
      <c r="CT79" s="68">
        <v>0</v>
      </c>
      <c r="CU79" s="68">
        <v>0</v>
      </c>
      <c r="CV79" s="68">
        <v>0</v>
      </c>
      <c r="CW79" s="68">
        <v>0</v>
      </c>
      <c r="CX79" s="68">
        <v>0</v>
      </c>
      <c r="CY79" s="68">
        <v>0</v>
      </c>
      <c r="CZ79" s="68">
        <v>0</v>
      </c>
      <c r="DA79" s="68">
        <v>0</v>
      </c>
      <c r="DB79" s="68">
        <v>0</v>
      </c>
      <c r="DC79" s="77">
        <v>0</v>
      </c>
    </row>
    <row r="80" spans="1:107">
      <c r="A80" s="57" t="s">
        <v>117</v>
      </c>
      <c r="B80" s="68">
        <v>28047.93</v>
      </c>
      <c r="C80" s="68">
        <v>7703.19</v>
      </c>
      <c r="D80" s="68">
        <v>20296.74</v>
      </c>
      <c r="E80" s="68">
        <v>0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48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68">
        <v>0</v>
      </c>
      <c r="AD80" s="68">
        <v>0</v>
      </c>
      <c r="AE80" s="68">
        <v>0</v>
      </c>
      <c r="AF80" s="68">
        <v>0</v>
      </c>
      <c r="AG80" s="68">
        <v>17316.58</v>
      </c>
      <c r="AH80" s="68">
        <v>1152</v>
      </c>
      <c r="AI80" s="68">
        <v>1828.16</v>
      </c>
      <c r="AJ80" s="68">
        <v>0</v>
      </c>
      <c r="AK80" s="68">
        <v>0</v>
      </c>
      <c r="AL80" s="68">
        <v>0</v>
      </c>
      <c r="AM80" s="68">
        <v>0</v>
      </c>
      <c r="AN80" s="68">
        <v>0</v>
      </c>
      <c r="AO80" s="68">
        <v>0</v>
      </c>
      <c r="AP80" s="68">
        <v>0</v>
      </c>
      <c r="AQ80" s="68">
        <v>0</v>
      </c>
      <c r="AR80" s="68">
        <v>0</v>
      </c>
      <c r="AS80" s="68">
        <v>0</v>
      </c>
      <c r="AT80" s="68">
        <v>0</v>
      </c>
      <c r="AU80" s="68">
        <v>120</v>
      </c>
      <c r="AV80" s="68">
        <v>0</v>
      </c>
      <c r="AW80" s="68">
        <v>0</v>
      </c>
      <c r="AX80" s="68">
        <v>0</v>
      </c>
      <c r="AY80" s="68">
        <v>2000</v>
      </c>
      <c r="AZ80" s="68">
        <v>150</v>
      </c>
      <c r="BA80" s="68">
        <v>0</v>
      </c>
      <c r="BB80" s="68">
        <v>0</v>
      </c>
      <c r="BC80" s="68">
        <v>0</v>
      </c>
      <c r="BD80" s="68">
        <v>2489.32</v>
      </c>
      <c r="BE80" s="68">
        <v>0</v>
      </c>
      <c r="BF80" s="68">
        <v>0</v>
      </c>
      <c r="BG80" s="68">
        <v>0</v>
      </c>
      <c r="BH80" s="68">
        <v>0</v>
      </c>
      <c r="BI80" s="68">
        <v>0</v>
      </c>
      <c r="BJ80" s="68">
        <v>0</v>
      </c>
      <c r="BK80" s="68">
        <v>0</v>
      </c>
      <c r="BL80" s="68">
        <v>0</v>
      </c>
      <c r="BM80" s="68">
        <v>0</v>
      </c>
      <c r="BN80" s="68">
        <v>970.87</v>
      </c>
      <c r="BO80" s="68">
        <v>0</v>
      </c>
      <c r="BP80" s="68">
        <v>0</v>
      </c>
      <c r="BQ80" s="68">
        <v>0</v>
      </c>
      <c r="BR80" s="68">
        <v>0</v>
      </c>
      <c r="BS80" s="68">
        <v>0</v>
      </c>
      <c r="BT80" s="68">
        <v>0</v>
      </c>
      <c r="BU80" s="68">
        <v>1335</v>
      </c>
      <c r="BV80" s="68">
        <v>0</v>
      </c>
      <c r="BW80" s="68">
        <v>0</v>
      </c>
      <c r="BX80" s="68">
        <v>0</v>
      </c>
      <c r="BY80" s="68">
        <v>0</v>
      </c>
      <c r="BZ80" s="68">
        <v>0</v>
      </c>
      <c r="CA80" s="68">
        <v>0</v>
      </c>
      <c r="CB80" s="68">
        <v>0</v>
      </c>
      <c r="CC80" s="68">
        <v>0</v>
      </c>
      <c r="CD80" s="68">
        <v>0</v>
      </c>
      <c r="CE80" s="68">
        <v>0</v>
      </c>
      <c r="CF80" s="68">
        <v>0</v>
      </c>
      <c r="CG80" s="68">
        <v>0</v>
      </c>
      <c r="CH80" s="68">
        <v>0</v>
      </c>
      <c r="CI80" s="68">
        <v>0</v>
      </c>
      <c r="CJ80" s="68">
        <v>0</v>
      </c>
      <c r="CK80" s="68">
        <v>0</v>
      </c>
      <c r="CL80" s="68">
        <v>0</v>
      </c>
      <c r="CM80" s="68">
        <v>638</v>
      </c>
      <c r="CN80" s="68">
        <v>0</v>
      </c>
      <c r="CO80" s="68">
        <v>0</v>
      </c>
      <c r="CP80" s="68">
        <v>0</v>
      </c>
      <c r="CQ80" s="68">
        <v>0</v>
      </c>
      <c r="CR80" s="68">
        <v>0</v>
      </c>
      <c r="CS80" s="68">
        <v>0</v>
      </c>
      <c r="CT80" s="68">
        <v>0</v>
      </c>
      <c r="CU80" s="68">
        <v>0</v>
      </c>
      <c r="CV80" s="68">
        <v>0</v>
      </c>
      <c r="CW80" s="68">
        <v>0</v>
      </c>
      <c r="CX80" s="68">
        <v>0</v>
      </c>
      <c r="CY80" s="68">
        <v>0</v>
      </c>
      <c r="CZ80" s="68">
        <v>0</v>
      </c>
      <c r="DA80" s="68">
        <v>0</v>
      </c>
      <c r="DB80" s="68">
        <v>0</v>
      </c>
      <c r="DC80" s="77">
        <v>0</v>
      </c>
    </row>
    <row r="81" spans="1:107">
      <c r="A81" s="57" t="s">
        <v>118</v>
      </c>
      <c r="B81" s="68">
        <v>3173.3</v>
      </c>
      <c r="C81" s="68">
        <v>2829.5</v>
      </c>
      <c r="D81" s="68">
        <v>305.8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38</v>
      </c>
      <c r="Q81" s="68">
        <v>0</v>
      </c>
      <c r="R81" s="68">
        <v>0</v>
      </c>
      <c r="S81" s="68">
        <v>0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68">
        <v>0</v>
      </c>
      <c r="AB81" s="68">
        <v>0</v>
      </c>
      <c r="AC81" s="68">
        <v>0</v>
      </c>
      <c r="AD81" s="68">
        <v>0</v>
      </c>
      <c r="AE81" s="68">
        <v>0</v>
      </c>
      <c r="AF81" s="68">
        <v>0</v>
      </c>
      <c r="AG81" s="68">
        <v>0</v>
      </c>
      <c r="AH81" s="68">
        <v>0</v>
      </c>
      <c r="AI81" s="68">
        <v>305.8</v>
      </c>
      <c r="AJ81" s="68">
        <v>0</v>
      </c>
      <c r="AK81" s="68">
        <v>0</v>
      </c>
      <c r="AL81" s="68">
        <v>0</v>
      </c>
      <c r="AM81" s="68">
        <v>0</v>
      </c>
      <c r="AN81" s="68">
        <v>0</v>
      </c>
      <c r="AO81" s="68">
        <v>0</v>
      </c>
      <c r="AP81" s="68">
        <v>0</v>
      </c>
      <c r="AQ81" s="68">
        <v>0</v>
      </c>
      <c r="AR81" s="68">
        <v>0</v>
      </c>
      <c r="AS81" s="68">
        <v>0</v>
      </c>
      <c r="AT81" s="68">
        <v>0</v>
      </c>
      <c r="AU81" s="68">
        <v>0</v>
      </c>
      <c r="AV81" s="68">
        <v>0</v>
      </c>
      <c r="AW81" s="68">
        <v>0</v>
      </c>
      <c r="AX81" s="68">
        <v>0</v>
      </c>
      <c r="AY81" s="68">
        <v>0</v>
      </c>
      <c r="AZ81" s="68">
        <v>0</v>
      </c>
      <c r="BA81" s="68">
        <v>2000</v>
      </c>
      <c r="BB81" s="68">
        <v>0</v>
      </c>
      <c r="BC81" s="68">
        <v>421</v>
      </c>
      <c r="BD81" s="68">
        <v>0</v>
      </c>
      <c r="BE81" s="68">
        <v>0</v>
      </c>
      <c r="BF81" s="68">
        <v>0</v>
      </c>
      <c r="BG81" s="68">
        <v>0</v>
      </c>
      <c r="BH81" s="68">
        <v>0</v>
      </c>
      <c r="BI81" s="68">
        <v>0</v>
      </c>
      <c r="BJ81" s="68">
        <v>0</v>
      </c>
      <c r="BK81" s="68">
        <v>0</v>
      </c>
      <c r="BL81" s="68">
        <v>0</v>
      </c>
      <c r="BM81" s="68">
        <v>0</v>
      </c>
      <c r="BN81" s="68">
        <v>0</v>
      </c>
      <c r="BO81" s="68">
        <v>0</v>
      </c>
      <c r="BP81" s="68">
        <v>0</v>
      </c>
      <c r="BQ81" s="68">
        <v>0</v>
      </c>
      <c r="BR81" s="68">
        <v>0</v>
      </c>
      <c r="BS81" s="68">
        <v>0</v>
      </c>
      <c r="BT81" s="68">
        <v>0</v>
      </c>
      <c r="BU81" s="68">
        <v>0</v>
      </c>
      <c r="BV81" s="68">
        <v>0</v>
      </c>
      <c r="BW81" s="68">
        <v>0</v>
      </c>
      <c r="BX81" s="68">
        <v>63.8</v>
      </c>
      <c r="BY81" s="68">
        <v>0</v>
      </c>
      <c r="BZ81" s="68">
        <v>0</v>
      </c>
      <c r="CA81" s="68">
        <v>0</v>
      </c>
      <c r="CB81" s="68">
        <v>0</v>
      </c>
      <c r="CC81" s="68">
        <v>0</v>
      </c>
      <c r="CD81" s="68">
        <v>0</v>
      </c>
      <c r="CE81" s="68">
        <v>0</v>
      </c>
      <c r="CF81" s="68">
        <v>0</v>
      </c>
      <c r="CG81" s="68">
        <v>222</v>
      </c>
      <c r="CH81" s="68">
        <v>0</v>
      </c>
      <c r="CI81" s="68">
        <v>0</v>
      </c>
      <c r="CJ81" s="68">
        <v>0</v>
      </c>
      <c r="CK81" s="68">
        <v>0</v>
      </c>
      <c r="CL81" s="68">
        <v>0</v>
      </c>
      <c r="CM81" s="68">
        <v>0</v>
      </c>
      <c r="CN81" s="68">
        <v>0</v>
      </c>
      <c r="CO81" s="68">
        <v>0</v>
      </c>
      <c r="CP81" s="68">
        <v>122.7</v>
      </c>
      <c r="CQ81" s="68">
        <v>0</v>
      </c>
      <c r="CR81" s="68">
        <v>0</v>
      </c>
      <c r="CS81" s="68">
        <v>0</v>
      </c>
      <c r="CT81" s="68">
        <v>0</v>
      </c>
      <c r="CU81" s="68">
        <v>0</v>
      </c>
      <c r="CV81" s="68">
        <v>0</v>
      </c>
      <c r="CW81" s="68">
        <v>0</v>
      </c>
      <c r="CX81" s="68">
        <v>0</v>
      </c>
      <c r="CY81" s="68">
        <v>0</v>
      </c>
      <c r="CZ81" s="68">
        <v>0</v>
      </c>
      <c r="DA81" s="68">
        <v>0</v>
      </c>
      <c r="DB81" s="68">
        <v>0</v>
      </c>
      <c r="DC81" s="77">
        <v>0</v>
      </c>
    </row>
    <row r="82" spans="1:107">
      <c r="A82" s="57" t="s">
        <v>119</v>
      </c>
      <c r="B82" s="68">
        <v>93553.72</v>
      </c>
      <c r="C82" s="68">
        <v>28402.34</v>
      </c>
      <c r="D82" s="68">
        <v>38415.75</v>
      </c>
      <c r="E82" s="68">
        <v>7431.85</v>
      </c>
      <c r="F82" s="68">
        <v>3146.22</v>
      </c>
      <c r="G82" s="68">
        <v>4412.43</v>
      </c>
      <c r="H82" s="68">
        <v>1456</v>
      </c>
      <c r="I82" s="68">
        <v>339.95</v>
      </c>
      <c r="J82" s="68">
        <v>3082.69</v>
      </c>
      <c r="K82" s="68">
        <v>3020.7</v>
      </c>
      <c r="L82" s="68">
        <v>1450.58</v>
      </c>
      <c r="M82" s="68">
        <v>475.66</v>
      </c>
      <c r="N82" s="68">
        <v>0</v>
      </c>
      <c r="O82" s="68">
        <v>0</v>
      </c>
      <c r="P82" s="68">
        <v>0</v>
      </c>
      <c r="Q82" s="68">
        <v>378.41</v>
      </c>
      <c r="R82" s="68">
        <v>395.2</v>
      </c>
      <c r="S82" s="68">
        <v>501</v>
      </c>
      <c r="T82" s="68">
        <v>183.22</v>
      </c>
      <c r="U82" s="68">
        <v>252.86</v>
      </c>
      <c r="V82" s="68">
        <v>0</v>
      </c>
      <c r="W82" s="68">
        <v>0</v>
      </c>
      <c r="X82" s="68">
        <v>562.2</v>
      </c>
      <c r="Y82" s="68">
        <v>0</v>
      </c>
      <c r="Z82" s="68">
        <v>2100.97</v>
      </c>
      <c r="AA82" s="68">
        <v>0</v>
      </c>
      <c r="AB82" s="68">
        <v>1904.36</v>
      </c>
      <c r="AC82" s="68">
        <v>2301.22</v>
      </c>
      <c r="AD82" s="68">
        <v>563.1</v>
      </c>
      <c r="AE82" s="68">
        <v>0</v>
      </c>
      <c r="AF82" s="68">
        <v>1243.11</v>
      </c>
      <c r="AG82" s="68">
        <v>21096.3</v>
      </c>
      <c r="AH82" s="68">
        <v>2231</v>
      </c>
      <c r="AI82" s="68">
        <v>13845.34</v>
      </c>
      <c r="AJ82" s="68">
        <v>208.86</v>
      </c>
      <c r="AK82" s="68">
        <v>1338.77</v>
      </c>
      <c r="AL82" s="68">
        <v>655.23</v>
      </c>
      <c r="AM82" s="68">
        <v>1152.22</v>
      </c>
      <c r="AN82" s="68">
        <v>0</v>
      </c>
      <c r="AO82" s="68">
        <v>0</v>
      </c>
      <c r="AP82" s="68">
        <v>794.32</v>
      </c>
      <c r="AQ82" s="68">
        <v>447.26</v>
      </c>
      <c r="AR82" s="68">
        <v>0</v>
      </c>
      <c r="AS82" s="68">
        <v>105.34</v>
      </c>
      <c r="AT82" s="68">
        <v>86</v>
      </c>
      <c r="AU82" s="68">
        <v>950</v>
      </c>
      <c r="AV82" s="68">
        <v>0</v>
      </c>
      <c r="AW82" s="68">
        <v>0</v>
      </c>
      <c r="AX82" s="68">
        <v>0</v>
      </c>
      <c r="AY82" s="68">
        <v>0</v>
      </c>
      <c r="AZ82" s="68">
        <v>0</v>
      </c>
      <c r="BA82" s="68">
        <v>56</v>
      </c>
      <c r="BB82" s="68">
        <v>879</v>
      </c>
      <c r="BC82" s="68">
        <v>715</v>
      </c>
      <c r="BD82" s="68">
        <v>203</v>
      </c>
      <c r="BE82" s="68">
        <v>234</v>
      </c>
      <c r="BF82" s="68">
        <v>856.6</v>
      </c>
      <c r="BG82" s="68">
        <v>1215.6</v>
      </c>
      <c r="BH82" s="68">
        <v>542</v>
      </c>
      <c r="BI82" s="68">
        <v>0</v>
      </c>
      <c r="BJ82" s="68">
        <v>0</v>
      </c>
      <c r="BK82" s="68">
        <v>26</v>
      </c>
      <c r="BL82" s="68">
        <v>0</v>
      </c>
      <c r="BM82" s="68">
        <v>0</v>
      </c>
      <c r="BN82" s="68">
        <v>427</v>
      </c>
      <c r="BO82" s="68">
        <v>501.5</v>
      </c>
      <c r="BP82" s="68">
        <v>655</v>
      </c>
      <c r="BQ82" s="68">
        <v>211</v>
      </c>
      <c r="BR82" s="68">
        <v>0</v>
      </c>
      <c r="BS82" s="68">
        <v>0</v>
      </c>
      <c r="BT82" s="68">
        <v>0</v>
      </c>
      <c r="BU82" s="68">
        <v>559</v>
      </c>
      <c r="BV82" s="68">
        <v>0</v>
      </c>
      <c r="BW82" s="68">
        <v>1999.5</v>
      </c>
      <c r="BX82" s="68">
        <v>400.6</v>
      </c>
      <c r="BY82" s="68">
        <v>418</v>
      </c>
      <c r="BZ82" s="68">
        <v>0</v>
      </c>
      <c r="CA82" s="68">
        <v>0</v>
      </c>
      <c r="CB82" s="68">
        <v>198</v>
      </c>
      <c r="CC82" s="68">
        <v>5631.3</v>
      </c>
      <c r="CD82" s="68">
        <v>0</v>
      </c>
      <c r="CE82" s="68">
        <v>1982.3</v>
      </c>
      <c r="CF82" s="68">
        <v>0</v>
      </c>
      <c r="CG82" s="68">
        <v>0</v>
      </c>
      <c r="CH82" s="68">
        <v>863.8</v>
      </c>
      <c r="CI82" s="68">
        <v>1064</v>
      </c>
      <c r="CJ82" s="68">
        <v>745.9</v>
      </c>
      <c r="CK82" s="68">
        <v>89</v>
      </c>
      <c r="CL82" s="68">
        <v>147</v>
      </c>
      <c r="CM82" s="68">
        <v>458.2</v>
      </c>
      <c r="CN82" s="68">
        <v>0</v>
      </c>
      <c r="CO82" s="68">
        <v>0</v>
      </c>
      <c r="CP82" s="68">
        <v>0</v>
      </c>
      <c r="CQ82" s="68">
        <v>629.5</v>
      </c>
      <c r="CR82" s="68">
        <v>0</v>
      </c>
      <c r="CS82" s="68">
        <v>386.9</v>
      </c>
      <c r="CT82" s="68">
        <v>281.2</v>
      </c>
      <c r="CU82" s="68">
        <v>1626.9</v>
      </c>
      <c r="CV82" s="68">
        <v>0</v>
      </c>
      <c r="CW82" s="68">
        <v>745.66</v>
      </c>
      <c r="CX82" s="68">
        <v>141.52</v>
      </c>
      <c r="CY82" s="68">
        <v>0</v>
      </c>
      <c r="CZ82" s="68">
        <v>734.44</v>
      </c>
      <c r="DA82" s="68">
        <v>0</v>
      </c>
      <c r="DB82" s="68">
        <v>395</v>
      </c>
      <c r="DC82" s="77">
        <v>0</v>
      </c>
    </row>
    <row r="83" spans="1:107">
      <c r="A83" s="57" t="s">
        <v>120</v>
      </c>
      <c r="B83" s="68">
        <v>180514.13</v>
      </c>
      <c r="C83" s="68">
        <v>53938.98</v>
      </c>
      <c r="D83" s="68">
        <v>16544</v>
      </c>
      <c r="E83" s="68">
        <v>9368</v>
      </c>
      <c r="F83" s="68">
        <v>27040</v>
      </c>
      <c r="G83" s="68">
        <v>62171.61</v>
      </c>
      <c r="H83" s="68">
        <v>0</v>
      </c>
      <c r="I83" s="68">
        <v>0</v>
      </c>
      <c r="J83" s="68">
        <v>-31438.48</v>
      </c>
      <c r="K83" s="68">
        <v>2330</v>
      </c>
      <c r="L83" s="68">
        <v>0</v>
      </c>
      <c r="M83" s="68">
        <v>0</v>
      </c>
      <c r="N83" s="68">
        <v>18560.02</v>
      </c>
      <c r="O83" s="68">
        <v>0</v>
      </c>
      <c r="P83" s="68">
        <v>0</v>
      </c>
      <c r="Q83" s="68">
        <v>0</v>
      </c>
      <c r="R83" s="68">
        <v>0</v>
      </c>
      <c r="S83" s="68">
        <v>0</v>
      </c>
      <c r="T83" s="68">
        <v>0</v>
      </c>
      <c r="U83" s="68">
        <v>0</v>
      </c>
      <c r="V83" s="68">
        <v>20000</v>
      </c>
      <c r="W83" s="68">
        <v>0</v>
      </c>
      <c r="X83" s="68">
        <v>7543</v>
      </c>
      <c r="Y83" s="68">
        <v>0</v>
      </c>
      <c r="Z83" s="68">
        <v>0</v>
      </c>
      <c r="AA83" s="68">
        <v>0</v>
      </c>
      <c r="AB83" s="68">
        <v>0</v>
      </c>
      <c r="AC83" s="68">
        <v>0</v>
      </c>
      <c r="AD83" s="68">
        <v>1825</v>
      </c>
      <c r="AE83" s="68">
        <v>0</v>
      </c>
      <c r="AF83" s="68">
        <v>8017</v>
      </c>
      <c r="AG83" s="68">
        <v>2482</v>
      </c>
      <c r="AH83" s="68">
        <v>1345</v>
      </c>
      <c r="AI83" s="68">
        <v>4700</v>
      </c>
      <c r="AJ83" s="68">
        <v>2000</v>
      </c>
      <c r="AK83" s="68">
        <v>0</v>
      </c>
      <c r="AL83" s="68">
        <v>27040</v>
      </c>
      <c r="AM83" s="68">
        <v>0</v>
      </c>
      <c r="AN83" s="68">
        <v>0</v>
      </c>
      <c r="AO83" s="68">
        <v>0</v>
      </c>
      <c r="AP83" s="68">
        <v>0</v>
      </c>
      <c r="AQ83" s="68">
        <v>0</v>
      </c>
      <c r="AR83" s="68">
        <v>0</v>
      </c>
      <c r="AS83" s="68">
        <v>0</v>
      </c>
      <c r="AT83" s="68">
        <v>6927.36</v>
      </c>
      <c r="AU83" s="68">
        <v>0</v>
      </c>
      <c r="AV83" s="68">
        <v>3135</v>
      </c>
      <c r="AW83" s="68">
        <v>0</v>
      </c>
      <c r="AX83" s="68">
        <v>900</v>
      </c>
      <c r="AY83" s="68">
        <v>1900</v>
      </c>
      <c r="AZ83" s="68">
        <v>2273.4</v>
      </c>
      <c r="BA83" s="68">
        <v>4055</v>
      </c>
      <c r="BB83" s="68">
        <v>1791</v>
      </c>
      <c r="BC83" s="68">
        <v>0</v>
      </c>
      <c r="BD83" s="68">
        <v>3511.22</v>
      </c>
      <c r="BE83" s="68">
        <v>0</v>
      </c>
      <c r="BF83" s="68">
        <v>0</v>
      </c>
      <c r="BG83" s="68">
        <v>0</v>
      </c>
      <c r="BH83" s="68">
        <v>2907</v>
      </c>
      <c r="BI83" s="68">
        <v>1395</v>
      </c>
      <c r="BJ83" s="68">
        <v>0</v>
      </c>
      <c r="BK83" s="68">
        <v>2199</v>
      </c>
      <c r="BL83" s="68">
        <v>0</v>
      </c>
      <c r="BM83" s="68">
        <v>0</v>
      </c>
      <c r="BN83" s="68">
        <v>0</v>
      </c>
      <c r="BO83" s="68">
        <v>0</v>
      </c>
      <c r="BP83" s="68">
        <v>3724</v>
      </c>
      <c r="BQ83" s="68">
        <v>1300</v>
      </c>
      <c r="BR83" s="68">
        <v>0</v>
      </c>
      <c r="BS83" s="68">
        <v>0</v>
      </c>
      <c r="BT83" s="68">
        <v>774</v>
      </c>
      <c r="BU83" s="68">
        <v>5813</v>
      </c>
      <c r="BV83" s="68">
        <v>0</v>
      </c>
      <c r="BW83" s="68">
        <v>0</v>
      </c>
      <c r="BX83" s="68">
        <v>0</v>
      </c>
      <c r="BY83" s="68">
        <v>2000</v>
      </c>
      <c r="BZ83" s="68">
        <v>0</v>
      </c>
      <c r="CA83" s="68">
        <v>0</v>
      </c>
      <c r="CB83" s="68">
        <v>3600</v>
      </c>
      <c r="CC83" s="68">
        <v>1658</v>
      </c>
      <c r="CD83" s="68">
        <v>685</v>
      </c>
      <c r="CE83" s="68">
        <v>1611</v>
      </c>
      <c r="CF83" s="68">
        <v>0</v>
      </c>
      <c r="CG83" s="68">
        <v>0</v>
      </c>
      <c r="CH83" s="68">
        <v>0</v>
      </c>
      <c r="CI83" s="68">
        <v>40</v>
      </c>
      <c r="CJ83" s="68">
        <v>0</v>
      </c>
      <c r="CK83" s="68">
        <v>1310</v>
      </c>
      <c r="CL83" s="68">
        <v>0</v>
      </c>
      <c r="CM83" s="68">
        <v>0</v>
      </c>
      <c r="CN83" s="68">
        <v>0</v>
      </c>
      <c r="CO83" s="68">
        <v>0</v>
      </c>
      <c r="CP83" s="68">
        <v>0</v>
      </c>
      <c r="CQ83" s="68">
        <v>0</v>
      </c>
      <c r="CR83" s="68">
        <v>0</v>
      </c>
      <c r="CS83" s="68">
        <v>0</v>
      </c>
      <c r="CT83" s="68">
        <v>0</v>
      </c>
      <c r="CU83" s="68">
        <v>0</v>
      </c>
      <c r="CV83" s="68">
        <v>0</v>
      </c>
      <c r="CW83" s="68">
        <v>0</v>
      </c>
      <c r="CX83" s="68">
        <v>0</v>
      </c>
      <c r="CY83" s="68">
        <v>0</v>
      </c>
      <c r="CZ83" s="68">
        <v>0</v>
      </c>
      <c r="DA83" s="68">
        <v>0</v>
      </c>
      <c r="DB83" s="68">
        <v>430</v>
      </c>
      <c r="DC83" s="77">
        <v>0</v>
      </c>
    </row>
    <row r="84" spans="1:107">
      <c r="A84" s="57" t="s">
        <v>121</v>
      </c>
      <c r="B84" s="68">
        <v>659694.64</v>
      </c>
      <c r="C84" s="68">
        <v>659694.64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68">
        <v>0</v>
      </c>
      <c r="AC84" s="68">
        <v>0</v>
      </c>
      <c r="AD84" s="68">
        <v>0</v>
      </c>
      <c r="AE84" s="68">
        <v>0</v>
      </c>
      <c r="AF84" s="68">
        <v>0</v>
      </c>
      <c r="AG84" s="68">
        <v>0</v>
      </c>
      <c r="AH84" s="68">
        <v>0</v>
      </c>
      <c r="AI84" s="68">
        <v>0</v>
      </c>
      <c r="AJ84" s="68">
        <v>0</v>
      </c>
      <c r="AK84" s="68">
        <v>0</v>
      </c>
      <c r="AL84" s="68">
        <v>0</v>
      </c>
      <c r="AM84" s="68">
        <v>0</v>
      </c>
      <c r="AN84" s="68">
        <v>0</v>
      </c>
      <c r="AO84" s="68">
        <v>0</v>
      </c>
      <c r="AP84" s="68">
        <v>0</v>
      </c>
      <c r="AQ84" s="68">
        <v>0</v>
      </c>
      <c r="AR84" s="68">
        <v>0</v>
      </c>
      <c r="AS84" s="68">
        <v>0</v>
      </c>
      <c r="AT84" s="68">
        <v>12060</v>
      </c>
      <c r="AU84" s="68">
        <v>9010</v>
      </c>
      <c r="AV84" s="68">
        <v>34989</v>
      </c>
      <c r="AW84" s="68">
        <v>16402.82</v>
      </c>
      <c r="AX84" s="68">
        <v>20330</v>
      </c>
      <c r="AY84" s="68">
        <v>78373.5</v>
      </c>
      <c r="AZ84" s="68">
        <v>1200</v>
      </c>
      <c r="BA84" s="68">
        <v>56730</v>
      </c>
      <c r="BB84" s="68">
        <v>21600</v>
      </c>
      <c r="BC84" s="68">
        <v>5570</v>
      </c>
      <c r="BD84" s="68">
        <v>32900</v>
      </c>
      <c r="BE84" s="68">
        <v>18250</v>
      </c>
      <c r="BF84" s="68">
        <v>20320</v>
      </c>
      <c r="BG84" s="68">
        <v>400</v>
      </c>
      <c r="BH84" s="68">
        <v>3239</v>
      </c>
      <c r="BI84" s="68">
        <v>3038</v>
      </c>
      <c r="BJ84" s="68">
        <v>1460</v>
      </c>
      <c r="BK84" s="68">
        <v>13274.34</v>
      </c>
      <c r="BL84" s="68">
        <v>26893.55</v>
      </c>
      <c r="BM84" s="68">
        <v>766.48</v>
      </c>
      <c r="BN84" s="68">
        <v>34915</v>
      </c>
      <c r="BO84" s="68">
        <v>0</v>
      </c>
      <c r="BP84" s="68">
        <v>30612</v>
      </c>
      <c r="BQ84" s="68">
        <v>6870</v>
      </c>
      <c r="BR84" s="68">
        <v>0</v>
      </c>
      <c r="BS84" s="68">
        <v>400</v>
      </c>
      <c r="BT84" s="68">
        <v>0</v>
      </c>
      <c r="BU84" s="68">
        <v>2500</v>
      </c>
      <c r="BV84" s="68">
        <v>18277</v>
      </c>
      <c r="BW84" s="68">
        <v>1520</v>
      </c>
      <c r="BX84" s="68">
        <v>13670</v>
      </c>
      <c r="BY84" s="68">
        <v>2740</v>
      </c>
      <c r="BZ84" s="68">
        <v>160</v>
      </c>
      <c r="CA84" s="68">
        <v>14020</v>
      </c>
      <c r="CB84" s="68">
        <v>11980</v>
      </c>
      <c r="CC84" s="68">
        <v>106714.51</v>
      </c>
      <c r="CD84" s="68">
        <v>11200</v>
      </c>
      <c r="CE84" s="68">
        <v>6994</v>
      </c>
      <c r="CF84" s="68">
        <v>0</v>
      </c>
      <c r="CG84" s="68">
        <v>0</v>
      </c>
      <c r="CH84" s="68">
        <v>2740</v>
      </c>
      <c r="CI84" s="68">
        <v>0</v>
      </c>
      <c r="CJ84" s="68">
        <v>528</v>
      </c>
      <c r="CK84" s="68">
        <v>0</v>
      </c>
      <c r="CL84" s="68">
        <v>0</v>
      </c>
      <c r="CM84" s="68">
        <v>5399</v>
      </c>
      <c r="CN84" s="68">
        <v>0</v>
      </c>
      <c r="CO84" s="68">
        <v>0</v>
      </c>
      <c r="CP84" s="68">
        <v>355.74</v>
      </c>
      <c r="CQ84" s="68">
        <v>3996.8</v>
      </c>
      <c r="CR84" s="68">
        <v>0</v>
      </c>
      <c r="CS84" s="68">
        <v>0</v>
      </c>
      <c r="CT84" s="68">
        <v>0</v>
      </c>
      <c r="CU84" s="68">
        <v>1070</v>
      </c>
      <c r="CV84" s="68">
        <v>0</v>
      </c>
      <c r="CW84" s="68">
        <v>0</v>
      </c>
      <c r="CX84" s="68">
        <v>0</v>
      </c>
      <c r="CY84" s="68">
        <v>0</v>
      </c>
      <c r="CZ84" s="68">
        <v>0</v>
      </c>
      <c r="DA84" s="68">
        <v>0</v>
      </c>
      <c r="DB84" s="68">
        <v>1950</v>
      </c>
      <c r="DC84" s="77">
        <v>4275.9</v>
      </c>
    </row>
    <row r="85" spans="1:107">
      <c r="A85" s="57" t="s">
        <v>122</v>
      </c>
      <c r="B85" s="68">
        <v>81569.91</v>
      </c>
      <c r="C85" s="68">
        <v>51249.91</v>
      </c>
      <c r="D85" s="68">
        <v>0</v>
      </c>
      <c r="E85" s="68">
        <v>0</v>
      </c>
      <c r="F85" s="68">
        <v>4520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25800</v>
      </c>
      <c r="P85" s="68">
        <v>0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8">
        <v>0</v>
      </c>
      <c r="AC85" s="68">
        <v>0</v>
      </c>
      <c r="AD85" s="68">
        <v>0</v>
      </c>
      <c r="AE85" s="68">
        <v>0</v>
      </c>
      <c r="AF85" s="68">
        <v>0</v>
      </c>
      <c r="AG85" s="68">
        <v>0</v>
      </c>
      <c r="AH85" s="68">
        <v>0</v>
      </c>
      <c r="AI85" s="68">
        <v>0</v>
      </c>
      <c r="AJ85" s="68">
        <v>0</v>
      </c>
      <c r="AK85" s="68">
        <v>4520</v>
      </c>
      <c r="AL85" s="68">
        <v>0</v>
      </c>
      <c r="AM85" s="68">
        <v>0</v>
      </c>
      <c r="AN85" s="68">
        <v>0</v>
      </c>
      <c r="AO85" s="68">
        <v>0</v>
      </c>
      <c r="AP85" s="68">
        <v>0</v>
      </c>
      <c r="AQ85" s="68">
        <v>0</v>
      </c>
      <c r="AR85" s="68">
        <v>0</v>
      </c>
      <c r="AS85" s="68">
        <v>0</v>
      </c>
      <c r="AT85" s="68">
        <v>0</v>
      </c>
      <c r="AU85" s="68">
        <v>2700</v>
      </c>
      <c r="AV85" s="68">
        <v>0</v>
      </c>
      <c r="AW85" s="68">
        <v>0</v>
      </c>
      <c r="AX85" s="68">
        <v>0</v>
      </c>
      <c r="AY85" s="68">
        <v>0</v>
      </c>
      <c r="AZ85" s="68">
        <v>0</v>
      </c>
      <c r="BA85" s="68">
        <v>0</v>
      </c>
      <c r="BB85" s="68">
        <v>0</v>
      </c>
      <c r="BC85" s="68">
        <v>0</v>
      </c>
      <c r="BD85" s="68">
        <v>3800</v>
      </c>
      <c r="BE85" s="68">
        <v>0</v>
      </c>
      <c r="BF85" s="68">
        <v>1550</v>
      </c>
      <c r="BG85" s="68">
        <v>0</v>
      </c>
      <c r="BH85" s="68">
        <v>0</v>
      </c>
      <c r="BI85" s="68">
        <v>0</v>
      </c>
      <c r="BJ85" s="68">
        <v>0</v>
      </c>
      <c r="BK85" s="68">
        <v>0</v>
      </c>
      <c r="BL85" s="68">
        <v>0</v>
      </c>
      <c r="BM85" s="68">
        <v>0</v>
      </c>
      <c r="BN85" s="68">
        <v>0</v>
      </c>
      <c r="BO85" s="68">
        <v>38834.95</v>
      </c>
      <c r="BP85" s="68">
        <v>0</v>
      </c>
      <c r="BQ85" s="68">
        <v>0</v>
      </c>
      <c r="BR85" s="68">
        <v>0</v>
      </c>
      <c r="BS85" s="68">
        <v>0</v>
      </c>
      <c r="BT85" s="68">
        <v>0</v>
      </c>
      <c r="BU85" s="68">
        <v>0</v>
      </c>
      <c r="BV85" s="68">
        <v>0</v>
      </c>
      <c r="BW85" s="68">
        <v>0</v>
      </c>
      <c r="BX85" s="68">
        <v>0</v>
      </c>
      <c r="BY85" s="68">
        <v>0</v>
      </c>
      <c r="BZ85" s="68">
        <v>0</v>
      </c>
      <c r="CA85" s="68">
        <v>0</v>
      </c>
      <c r="CB85" s="68">
        <v>2800</v>
      </c>
      <c r="CC85" s="68">
        <v>1564.96</v>
      </c>
      <c r="CD85" s="68">
        <v>0</v>
      </c>
      <c r="CE85" s="68">
        <v>0</v>
      </c>
      <c r="CF85" s="68">
        <v>0</v>
      </c>
      <c r="CG85" s="68">
        <v>0</v>
      </c>
      <c r="CH85" s="68">
        <v>0</v>
      </c>
      <c r="CI85" s="68">
        <v>0</v>
      </c>
      <c r="CJ85" s="68">
        <v>0</v>
      </c>
      <c r="CK85" s="68">
        <v>0</v>
      </c>
      <c r="CL85" s="68">
        <v>0</v>
      </c>
      <c r="CM85" s="68">
        <v>0</v>
      </c>
      <c r="CN85" s="68">
        <v>0</v>
      </c>
      <c r="CO85" s="68">
        <v>0</v>
      </c>
      <c r="CP85" s="68">
        <v>0</v>
      </c>
      <c r="CQ85" s="68">
        <v>0</v>
      </c>
      <c r="CR85" s="68">
        <v>0</v>
      </c>
      <c r="CS85" s="68">
        <v>0</v>
      </c>
      <c r="CT85" s="68">
        <v>0</v>
      </c>
      <c r="CU85" s="68">
        <v>0</v>
      </c>
      <c r="CV85" s="68">
        <v>0</v>
      </c>
      <c r="CW85" s="68">
        <v>0</v>
      </c>
      <c r="CX85" s="68">
        <v>0</v>
      </c>
      <c r="CY85" s="68">
        <v>0</v>
      </c>
      <c r="CZ85" s="68">
        <v>0</v>
      </c>
      <c r="DA85" s="68">
        <v>0</v>
      </c>
      <c r="DB85" s="68">
        <v>0</v>
      </c>
      <c r="DC85" s="77">
        <v>0</v>
      </c>
    </row>
    <row r="86" s="61" customFormat="1" spans="1:118">
      <c r="A86" s="69" t="s">
        <v>102</v>
      </c>
      <c r="B86" s="70">
        <v>5276212.25</v>
      </c>
      <c r="C86" s="70">
        <v>2278744.45</v>
      </c>
      <c r="D86" s="70">
        <v>1227130.75</v>
      </c>
      <c r="E86" s="70">
        <v>48145.32</v>
      </c>
      <c r="F86" s="70">
        <v>237473.18</v>
      </c>
      <c r="G86" s="70">
        <v>164608.86</v>
      </c>
      <c r="H86" s="70">
        <v>383058.84</v>
      </c>
      <c r="I86" s="70">
        <v>27103.98</v>
      </c>
      <c r="J86" s="70">
        <v>378855.76</v>
      </c>
      <c r="K86" s="70">
        <v>31891</v>
      </c>
      <c r="L86" s="70">
        <v>42099.66</v>
      </c>
      <c r="M86" s="70">
        <v>25265.6</v>
      </c>
      <c r="N86" s="70">
        <v>18560.02</v>
      </c>
      <c r="O86" s="70">
        <v>99175.42</v>
      </c>
      <c r="P86" s="70">
        <v>5813</v>
      </c>
      <c r="Q86" s="70">
        <v>15194.41</v>
      </c>
      <c r="R86" s="70">
        <v>24125.15</v>
      </c>
      <c r="S86" s="70">
        <v>68620.99</v>
      </c>
      <c r="T86" s="70">
        <v>4326.72</v>
      </c>
      <c r="U86" s="70">
        <v>18545.56</v>
      </c>
      <c r="V86" s="70">
        <v>20000</v>
      </c>
      <c r="W86" s="70">
        <v>0</v>
      </c>
      <c r="X86" s="70">
        <v>32681.32</v>
      </c>
      <c r="Y86" s="70">
        <v>2458.4</v>
      </c>
      <c r="Z86" s="70">
        <v>-152452.34</v>
      </c>
      <c r="AA86" s="70">
        <v>3776.58</v>
      </c>
      <c r="AB86" s="70">
        <v>21744.25</v>
      </c>
      <c r="AC86" s="70">
        <v>45010.53</v>
      </c>
      <c r="AD86" s="70">
        <v>66491.48</v>
      </c>
      <c r="AE86" s="70">
        <v>28435.1</v>
      </c>
      <c r="AF86" s="70">
        <v>51675.11</v>
      </c>
      <c r="AG86" s="70">
        <v>870418.35</v>
      </c>
      <c r="AH86" s="70">
        <v>137773.55</v>
      </c>
      <c r="AI86" s="70">
        <v>167263.74</v>
      </c>
      <c r="AJ86" s="70">
        <v>156696.58</v>
      </c>
      <c r="AK86" s="70">
        <v>146133.99</v>
      </c>
      <c r="AL86" s="70">
        <v>67313.75</v>
      </c>
      <c r="AM86" s="70">
        <v>24025.44</v>
      </c>
      <c r="AN86" s="70">
        <v>777</v>
      </c>
      <c r="AO86" s="70">
        <v>97252.94</v>
      </c>
      <c r="AP86" s="70">
        <v>34527.83</v>
      </c>
      <c r="AQ86" s="70">
        <v>39914.08</v>
      </c>
      <c r="AR86" s="70">
        <v>3782.5</v>
      </c>
      <c r="AS86" s="70">
        <v>44416.98</v>
      </c>
      <c r="AT86" s="70">
        <v>97603.76</v>
      </c>
      <c r="AU86" s="70">
        <v>77357.84</v>
      </c>
      <c r="AV86" s="70">
        <v>77214.06</v>
      </c>
      <c r="AW86" s="70">
        <v>101154.09</v>
      </c>
      <c r="AX86" s="70">
        <v>37930.29</v>
      </c>
      <c r="AY86" s="70">
        <v>129972.44</v>
      </c>
      <c r="AZ86" s="70">
        <v>11673.4</v>
      </c>
      <c r="BA86" s="70">
        <v>98176</v>
      </c>
      <c r="BB86" s="70">
        <v>64873.03</v>
      </c>
      <c r="BC86" s="70">
        <v>30509.62</v>
      </c>
      <c r="BD86" s="70">
        <v>118017.75</v>
      </c>
      <c r="BE86" s="70">
        <v>34559.87</v>
      </c>
      <c r="BF86" s="70">
        <v>48550.9</v>
      </c>
      <c r="BG86" s="70">
        <v>35391.58</v>
      </c>
      <c r="BH86" s="70">
        <v>20696.94</v>
      </c>
      <c r="BI86" s="70">
        <v>34843.85</v>
      </c>
      <c r="BJ86" s="70">
        <v>1460</v>
      </c>
      <c r="BK86" s="70">
        <v>58079.65</v>
      </c>
      <c r="BL86" s="70">
        <v>29293.55</v>
      </c>
      <c r="BM86" s="70">
        <v>766.48</v>
      </c>
      <c r="BN86" s="70">
        <v>65326.87</v>
      </c>
      <c r="BO86" s="70">
        <v>63471.47</v>
      </c>
      <c r="BP86" s="70">
        <v>55948.02</v>
      </c>
      <c r="BQ86" s="70">
        <v>51150.28</v>
      </c>
      <c r="BR86" s="70">
        <v>2333.33</v>
      </c>
      <c r="BS86" s="70">
        <v>400</v>
      </c>
      <c r="BT86" s="70">
        <v>3461</v>
      </c>
      <c r="BU86" s="70">
        <v>17008.7</v>
      </c>
      <c r="BV86" s="70">
        <v>20409.2</v>
      </c>
      <c r="BW86" s="70">
        <v>8488.83</v>
      </c>
      <c r="BX86" s="70">
        <v>15484.86</v>
      </c>
      <c r="BY86" s="70">
        <v>34885.6</v>
      </c>
      <c r="BZ86" s="70">
        <v>160</v>
      </c>
      <c r="CA86" s="70">
        <v>14020</v>
      </c>
      <c r="CB86" s="70">
        <v>30918</v>
      </c>
      <c r="CC86" s="70">
        <v>153170.27</v>
      </c>
      <c r="CD86" s="70">
        <v>32734.52</v>
      </c>
      <c r="CE86" s="70">
        <v>29479.6</v>
      </c>
      <c r="CF86" s="70">
        <v>18002.2</v>
      </c>
      <c r="CG86" s="70">
        <v>13527.98</v>
      </c>
      <c r="CH86" s="70">
        <v>8264.67</v>
      </c>
      <c r="CI86" s="70">
        <v>62354.16</v>
      </c>
      <c r="CJ86" s="70">
        <v>5555.4</v>
      </c>
      <c r="CK86" s="70">
        <v>9086</v>
      </c>
      <c r="CL86" s="70">
        <v>381</v>
      </c>
      <c r="CM86" s="70">
        <v>9917.2</v>
      </c>
      <c r="CN86" s="70">
        <v>0</v>
      </c>
      <c r="CO86" s="70">
        <v>6061.3</v>
      </c>
      <c r="CP86" s="70">
        <v>18208.24</v>
      </c>
      <c r="CQ86" s="70">
        <v>29194.92</v>
      </c>
      <c r="CR86" s="70">
        <v>13704.4</v>
      </c>
      <c r="CS86" s="70">
        <v>7355.18</v>
      </c>
      <c r="CT86" s="70">
        <v>12715.8</v>
      </c>
      <c r="CU86" s="70">
        <v>11472.55</v>
      </c>
      <c r="CV86" s="70">
        <v>0</v>
      </c>
      <c r="CW86" s="70">
        <v>15583.56</v>
      </c>
      <c r="CX86" s="70">
        <v>26435.52</v>
      </c>
      <c r="CY86" s="70">
        <v>18393.8</v>
      </c>
      <c r="CZ86" s="70">
        <v>22570.74</v>
      </c>
      <c r="DA86" s="70">
        <v>10337.91</v>
      </c>
      <c r="DB86" s="70">
        <v>5326</v>
      </c>
      <c r="DC86" s="70">
        <v>27425.94</v>
      </c>
      <c r="DD86" s="70">
        <f t="shared" ref="DD86:DN86" si="2">SUM(DD73:DD85)</f>
        <v>0</v>
      </c>
      <c r="DE86" s="70">
        <f t="shared" si="2"/>
        <v>0</v>
      </c>
      <c r="DF86" s="70">
        <f t="shared" si="2"/>
        <v>0</v>
      </c>
      <c r="DG86" s="70">
        <f t="shared" si="2"/>
        <v>0</v>
      </c>
      <c r="DH86" s="70">
        <f t="shared" si="2"/>
        <v>0</v>
      </c>
      <c r="DI86" s="70">
        <f t="shared" si="2"/>
        <v>0</v>
      </c>
      <c r="DJ86" s="70">
        <f t="shared" si="2"/>
        <v>0</v>
      </c>
      <c r="DK86" s="70">
        <f t="shared" si="2"/>
        <v>0</v>
      </c>
      <c r="DL86" s="70">
        <f t="shared" si="2"/>
        <v>0</v>
      </c>
      <c r="DM86" s="70">
        <f t="shared" si="2"/>
        <v>0</v>
      </c>
      <c r="DN86" s="70">
        <f t="shared" si="2"/>
        <v>0</v>
      </c>
    </row>
    <row r="87" spans="1:107">
      <c r="A87" s="57" t="s">
        <v>124</v>
      </c>
      <c r="B87" s="68">
        <v>289302.98</v>
      </c>
      <c r="C87" s="68">
        <v>276427.52</v>
      </c>
      <c r="D87" s="68">
        <v>0</v>
      </c>
      <c r="E87" s="68">
        <v>498.74</v>
      </c>
      <c r="F87" s="68">
        <v>12376.72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8">
        <v>0</v>
      </c>
      <c r="S87" s="68">
        <v>0</v>
      </c>
      <c r="T87" s="68">
        <v>0</v>
      </c>
      <c r="U87" s="68">
        <v>0</v>
      </c>
      <c r="V87" s="68">
        <v>0</v>
      </c>
      <c r="W87" s="68">
        <v>0</v>
      </c>
      <c r="X87" s="68">
        <v>498.74</v>
      </c>
      <c r="Y87" s="68">
        <v>0</v>
      </c>
      <c r="Z87" s="68">
        <v>0</v>
      </c>
      <c r="AA87" s="68">
        <v>0</v>
      </c>
      <c r="AB87" s="68">
        <v>0</v>
      </c>
      <c r="AC87" s="68">
        <v>0</v>
      </c>
      <c r="AD87" s="68">
        <v>0</v>
      </c>
      <c r="AE87" s="68">
        <v>0</v>
      </c>
      <c r="AF87" s="68">
        <v>0</v>
      </c>
      <c r="AG87" s="68">
        <v>0</v>
      </c>
      <c r="AH87" s="68">
        <v>0</v>
      </c>
      <c r="AI87" s="68">
        <v>0</v>
      </c>
      <c r="AJ87" s="68">
        <v>0</v>
      </c>
      <c r="AK87" s="68">
        <v>6188.36</v>
      </c>
      <c r="AL87" s="68">
        <v>6188.36</v>
      </c>
      <c r="AM87" s="68">
        <v>0</v>
      </c>
      <c r="AN87" s="68">
        <v>0</v>
      </c>
      <c r="AO87" s="68">
        <v>0</v>
      </c>
      <c r="AP87" s="68">
        <v>0</v>
      </c>
      <c r="AQ87" s="68">
        <v>0</v>
      </c>
      <c r="AR87" s="68">
        <v>0</v>
      </c>
      <c r="AS87" s="68">
        <v>0</v>
      </c>
      <c r="AT87" s="68">
        <v>20597.92</v>
      </c>
      <c r="AU87" s="68">
        <v>15497.35</v>
      </c>
      <c r="AV87" s="68">
        <v>2886.79</v>
      </c>
      <c r="AW87" s="68">
        <v>10278</v>
      </c>
      <c r="AX87" s="68">
        <v>53032.47</v>
      </c>
      <c r="AY87" s="68">
        <v>14916.41</v>
      </c>
      <c r="AZ87" s="68">
        <v>7190.84</v>
      </c>
      <c r="BA87" s="68">
        <v>457</v>
      </c>
      <c r="BB87" s="68">
        <v>151</v>
      </c>
      <c r="BC87" s="68">
        <v>8672.01</v>
      </c>
      <c r="BD87" s="68">
        <v>-7314.7</v>
      </c>
      <c r="BE87" s="68">
        <v>34560</v>
      </c>
      <c r="BF87" s="68">
        <v>33449.58</v>
      </c>
      <c r="BG87" s="68">
        <v>1637.63</v>
      </c>
      <c r="BH87" s="68">
        <v>8887.47</v>
      </c>
      <c r="BI87" s="68">
        <v>148</v>
      </c>
      <c r="BJ87" s="68">
        <v>139</v>
      </c>
      <c r="BK87" s="68">
        <v>24931.1</v>
      </c>
      <c r="BL87" s="68">
        <v>137</v>
      </c>
      <c r="BM87" s="68">
        <v>62</v>
      </c>
      <c r="BN87" s="68">
        <v>8658.46</v>
      </c>
      <c r="BO87" s="68">
        <v>141</v>
      </c>
      <c r="BP87" s="68">
        <v>847.2</v>
      </c>
      <c r="BQ87" s="68">
        <v>1552</v>
      </c>
      <c r="BR87" s="68">
        <v>1670.34</v>
      </c>
      <c r="BS87" s="68">
        <v>72</v>
      </c>
      <c r="BT87" s="68">
        <v>2432</v>
      </c>
      <c r="BU87" s="68">
        <v>1644.49</v>
      </c>
      <c r="BV87" s="68">
        <v>6089</v>
      </c>
      <c r="BW87" s="68">
        <v>39</v>
      </c>
      <c r="BX87" s="68">
        <v>1018</v>
      </c>
      <c r="BY87" s="68">
        <v>11111</v>
      </c>
      <c r="BZ87" s="68">
        <v>14</v>
      </c>
      <c r="CA87" s="68">
        <v>18</v>
      </c>
      <c r="CB87" s="68">
        <v>45</v>
      </c>
      <c r="CC87" s="68">
        <v>4696</v>
      </c>
      <c r="CD87" s="68">
        <v>3173.19</v>
      </c>
      <c r="CE87" s="68">
        <v>16</v>
      </c>
      <c r="CF87" s="68">
        <v>0</v>
      </c>
      <c r="CG87" s="68">
        <v>767.09</v>
      </c>
      <c r="CH87" s="68">
        <v>12</v>
      </c>
      <c r="CI87" s="68">
        <v>0</v>
      </c>
      <c r="CJ87" s="68">
        <v>3</v>
      </c>
      <c r="CK87" s="68">
        <v>1</v>
      </c>
      <c r="CL87" s="68">
        <v>0</v>
      </c>
      <c r="CM87" s="68">
        <v>44</v>
      </c>
      <c r="CN87" s="68">
        <v>1</v>
      </c>
      <c r="CO87" s="68">
        <v>315.84</v>
      </c>
      <c r="CP87" s="68">
        <v>3</v>
      </c>
      <c r="CQ87" s="68">
        <v>408.3</v>
      </c>
      <c r="CR87" s="68">
        <v>0</v>
      </c>
      <c r="CS87" s="68">
        <v>8</v>
      </c>
      <c r="CT87" s="68">
        <v>0</v>
      </c>
      <c r="CU87" s="68">
        <v>3</v>
      </c>
      <c r="CV87" s="68">
        <v>0</v>
      </c>
      <c r="CW87" s="68">
        <v>500</v>
      </c>
      <c r="CX87" s="68">
        <v>0</v>
      </c>
      <c r="CY87" s="68">
        <v>655.7</v>
      </c>
      <c r="CZ87" s="68">
        <v>0</v>
      </c>
      <c r="DA87" s="68">
        <v>0</v>
      </c>
      <c r="DB87" s="68">
        <v>0.24</v>
      </c>
      <c r="DC87" s="77">
        <v>151.8</v>
      </c>
    </row>
    <row r="88" spans="1:107">
      <c r="A88" s="57" t="s">
        <v>125</v>
      </c>
      <c r="B88" s="68">
        <v>221911.49</v>
      </c>
      <c r="C88" s="68">
        <v>131471.85</v>
      </c>
      <c r="D88" s="68">
        <v>7124.57</v>
      </c>
      <c r="E88" s="68">
        <v>25550.29</v>
      </c>
      <c r="F88" s="68">
        <v>10404.96</v>
      </c>
      <c r="G88" s="68">
        <v>1420.07</v>
      </c>
      <c r="H88" s="68">
        <v>0</v>
      </c>
      <c r="I88" s="68">
        <v>170.75</v>
      </c>
      <c r="J88" s="68">
        <v>38194.9</v>
      </c>
      <c r="K88" s="68">
        <v>2086.79</v>
      </c>
      <c r="L88" s="68">
        <v>230.19</v>
      </c>
      <c r="M88" s="68">
        <v>658.49</v>
      </c>
      <c r="N88" s="68">
        <v>0</v>
      </c>
      <c r="O88" s="68">
        <v>137.74</v>
      </c>
      <c r="P88" s="68">
        <v>42.45</v>
      </c>
      <c r="Q88" s="68">
        <v>0</v>
      </c>
      <c r="R88" s="68">
        <v>1232.08</v>
      </c>
      <c r="S88" s="68">
        <v>1262.73</v>
      </c>
      <c r="T88" s="68">
        <v>84.91</v>
      </c>
      <c r="U88" s="68">
        <v>1082.12</v>
      </c>
      <c r="V88" s="68">
        <v>0</v>
      </c>
      <c r="W88" s="68">
        <v>0</v>
      </c>
      <c r="X88" s="68">
        <v>4253.54</v>
      </c>
      <c r="Y88" s="68">
        <v>0</v>
      </c>
      <c r="Z88" s="68">
        <v>7067.12</v>
      </c>
      <c r="AA88" s="68">
        <v>0</v>
      </c>
      <c r="AB88" s="68">
        <v>3274.48</v>
      </c>
      <c r="AC88" s="68">
        <v>6195.23</v>
      </c>
      <c r="AD88" s="68">
        <v>4739.17</v>
      </c>
      <c r="AE88" s="68">
        <v>20.75</v>
      </c>
      <c r="AF88" s="68">
        <v>694.34</v>
      </c>
      <c r="AG88" s="68">
        <v>2737.9</v>
      </c>
      <c r="AH88" s="68">
        <v>729.25</v>
      </c>
      <c r="AI88" s="68">
        <v>2963.08</v>
      </c>
      <c r="AJ88" s="68">
        <v>756.6</v>
      </c>
      <c r="AK88" s="68">
        <v>3892.77</v>
      </c>
      <c r="AL88" s="68">
        <v>5417.03</v>
      </c>
      <c r="AM88" s="68">
        <v>1095.16</v>
      </c>
      <c r="AN88" s="68">
        <v>0</v>
      </c>
      <c r="AO88" s="68">
        <v>21.7</v>
      </c>
      <c r="AP88" s="68">
        <v>836.79</v>
      </c>
      <c r="AQ88" s="68">
        <v>3949.5</v>
      </c>
      <c r="AR88" s="68">
        <v>2304.73</v>
      </c>
      <c r="AS88" s="68">
        <v>569.81</v>
      </c>
      <c r="AT88" s="68">
        <v>4341.31</v>
      </c>
      <c r="AU88" s="68">
        <v>3879.78</v>
      </c>
      <c r="AV88" s="68">
        <v>0</v>
      </c>
      <c r="AW88" s="68">
        <v>7828.39</v>
      </c>
      <c r="AX88" s="68">
        <v>2001.53</v>
      </c>
      <c r="AY88" s="68">
        <v>3499.22</v>
      </c>
      <c r="AZ88" s="68">
        <v>7312.82</v>
      </c>
      <c r="BA88" s="68">
        <v>4520.31</v>
      </c>
      <c r="BB88" s="68">
        <v>10232.43</v>
      </c>
      <c r="BC88" s="68">
        <v>6367.8</v>
      </c>
      <c r="BD88" s="68">
        <v>5402.83</v>
      </c>
      <c r="BE88" s="68">
        <v>3810</v>
      </c>
      <c r="BF88" s="68">
        <v>8085.78</v>
      </c>
      <c r="BG88" s="68">
        <v>4315.28</v>
      </c>
      <c r="BH88" s="68">
        <v>876.74</v>
      </c>
      <c r="BI88" s="68">
        <v>400</v>
      </c>
      <c r="BJ88" s="68">
        <v>2324.83</v>
      </c>
      <c r="BK88" s="68">
        <v>3289.5</v>
      </c>
      <c r="BL88" s="68">
        <v>0</v>
      </c>
      <c r="BM88" s="68">
        <v>0</v>
      </c>
      <c r="BN88" s="68">
        <v>2268.55</v>
      </c>
      <c r="BO88" s="68">
        <v>991.71</v>
      </c>
      <c r="BP88" s="68">
        <v>68</v>
      </c>
      <c r="BQ88" s="68">
        <v>25</v>
      </c>
      <c r="BR88" s="68">
        <v>0</v>
      </c>
      <c r="BS88" s="68">
        <v>1300</v>
      </c>
      <c r="BT88" s="68">
        <v>0</v>
      </c>
      <c r="BU88" s="68">
        <v>1584.64</v>
      </c>
      <c r="BV88" s="68">
        <v>53</v>
      </c>
      <c r="BW88" s="68">
        <v>15666.79</v>
      </c>
      <c r="BX88" s="68">
        <v>2700</v>
      </c>
      <c r="BY88" s="68">
        <v>0</v>
      </c>
      <c r="BZ88" s="68">
        <v>0</v>
      </c>
      <c r="CA88" s="68">
        <v>0</v>
      </c>
      <c r="CB88" s="68">
        <v>900</v>
      </c>
      <c r="CC88" s="68">
        <v>5535.04</v>
      </c>
      <c r="CD88" s="68">
        <v>3888.26</v>
      </c>
      <c r="CE88" s="68">
        <v>228</v>
      </c>
      <c r="CF88" s="68">
        <v>500</v>
      </c>
      <c r="CG88" s="68">
        <v>0</v>
      </c>
      <c r="CH88" s="68">
        <v>120</v>
      </c>
      <c r="CI88" s="68">
        <v>3190</v>
      </c>
      <c r="CJ88" s="68">
        <v>0</v>
      </c>
      <c r="CK88" s="68">
        <v>50</v>
      </c>
      <c r="CL88" s="68">
        <v>0</v>
      </c>
      <c r="CM88" s="68">
        <v>69</v>
      </c>
      <c r="CN88" s="68">
        <v>0</v>
      </c>
      <c r="CO88" s="68">
        <v>0</v>
      </c>
      <c r="CP88" s="68">
        <v>0</v>
      </c>
      <c r="CQ88" s="68">
        <v>114</v>
      </c>
      <c r="CR88" s="68">
        <v>70</v>
      </c>
      <c r="CS88" s="68">
        <v>171</v>
      </c>
      <c r="CT88" s="68">
        <v>0</v>
      </c>
      <c r="CU88" s="68">
        <v>100</v>
      </c>
      <c r="CV88" s="68">
        <v>0</v>
      </c>
      <c r="CW88" s="68">
        <v>0</v>
      </c>
      <c r="CX88" s="68">
        <v>700</v>
      </c>
      <c r="CY88" s="68">
        <v>2790</v>
      </c>
      <c r="CZ88" s="68">
        <v>208</v>
      </c>
      <c r="DA88" s="68">
        <v>0</v>
      </c>
      <c r="DB88" s="68">
        <v>1186.2</v>
      </c>
      <c r="DC88" s="77">
        <v>823.58</v>
      </c>
    </row>
    <row r="89" spans="1:107">
      <c r="A89" s="57" t="s">
        <v>126</v>
      </c>
      <c r="B89" s="68">
        <v>0</v>
      </c>
      <c r="C89" s="68">
        <v>0</v>
      </c>
      <c r="D89" s="68">
        <v>0</v>
      </c>
      <c r="E89" s="68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8">
        <v>0</v>
      </c>
      <c r="S89" s="68">
        <v>0</v>
      </c>
      <c r="T89" s="68">
        <v>0</v>
      </c>
      <c r="U89" s="68">
        <v>0</v>
      </c>
      <c r="V89" s="68">
        <v>0</v>
      </c>
      <c r="W89" s="68">
        <v>0</v>
      </c>
      <c r="X89" s="68">
        <v>0</v>
      </c>
      <c r="Y89" s="68">
        <v>0</v>
      </c>
      <c r="Z89" s="68">
        <v>0</v>
      </c>
      <c r="AA89" s="68">
        <v>0</v>
      </c>
      <c r="AB89" s="68">
        <v>0</v>
      </c>
      <c r="AC89" s="68">
        <v>0</v>
      </c>
      <c r="AD89" s="68">
        <v>0</v>
      </c>
      <c r="AE89" s="68">
        <v>0</v>
      </c>
      <c r="AF89" s="68">
        <v>0</v>
      </c>
      <c r="AG89" s="68">
        <v>0</v>
      </c>
      <c r="AH89" s="68">
        <v>0</v>
      </c>
      <c r="AI89" s="68">
        <v>0</v>
      </c>
      <c r="AJ89" s="68">
        <v>0</v>
      </c>
      <c r="AK89" s="68">
        <v>0</v>
      </c>
      <c r="AL89" s="68">
        <v>0</v>
      </c>
      <c r="AM89" s="68">
        <v>0</v>
      </c>
      <c r="AN89" s="68">
        <v>0</v>
      </c>
      <c r="AO89" s="68">
        <v>0</v>
      </c>
      <c r="AP89" s="68">
        <v>0</v>
      </c>
      <c r="AQ89" s="68">
        <v>0</v>
      </c>
      <c r="AR89" s="68">
        <v>0</v>
      </c>
      <c r="AS89" s="68">
        <v>0</v>
      </c>
      <c r="AT89" s="68">
        <v>0</v>
      </c>
      <c r="AU89" s="68">
        <v>0</v>
      </c>
      <c r="AV89" s="68">
        <v>0</v>
      </c>
      <c r="AW89" s="68">
        <v>0</v>
      </c>
      <c r="AX89" s="68">
        <v>0</v>
      </c>
      <c r="AY89" s="68">
        <v>0</v>
      </c>
      <c r="AZ89" s="68">
        <v>0</v>
      </c>
      <c r="BA89" s="68">
        <v>0</v>
      </c>
      <c r="BB89" s="68">
        <v>0</v>
      </c>
      <c r="BC89" s="68">
        <v>0</v>
      </c>
      <c r="BD89" s="68">
        <v>0</v>
      </c>
      <c r="BE89" s="68">
        <v>0</v>
      </c>
      <c r="BF89" s="68">
        <v>0</v>
      </c>
      <c r="BG89" s="68">
        <v>0</v>
      </c>
      <c r="BH89" s="68">
        <v>0</v>
      </c>
      <c r="BI89" s="68">
        <v>0</v>
      </c>
      <c r="BJ89" s="68">
        <v>0</v>
      </c>
      <c r="BK89" s="68">
        <v>0</v>
      </c>
      <c r="BL89" s="68">
        <v>0</v>
      </c>
      <c r="BM89" s="68">
        <v>0</v>
      </c>
      <c r="BN89" s="68">
        <v>0</v>
      </c>
      <c r="BO89" s="68">
        <v>0</v>
      </c>
      <c r="BP89" s="68">
        <v>0</v>
      </c>
      <c r="BQ89" s="68">
        <v>0</v>
      </c>
      <c r="BR89" s="68">
        <v>0</v>
      </c>
      <c r="BS89" s="68">
        <v>0</v>
      </c>
      <c r="BT89" s="68">
        <v>0</v>
      </c>
      <c r="BU89" s="68">
        <v>0</v>
      </c>
      <c r="BV89" s="68">
        <v>0</v>
      </c>
      <c r="BW89" s="68">
        <v>0</v>
      </c>
      <c r="BX89" s="68">
        <v>0</v>
      </c>
      <c r="BY89" s="68">
        <v>0</v>
      </c>
      <c r="BZ89" s="68">
        <v>0</v>
      </c>
      <c r="CA89" s="68">
        <v>0</v>
      </c>
      <c r="CB89" s="68">
        <v>0</v>
      </c>
      <c r="CC89" s="68">
        <v>0</v>
      </c>
      <c r="CD89" s="68">
        <v>0</v>
      </c>
      <c r="CE89" s="68">
        <v>0</v>
      </c>
      <c r="CF89" s="68">
        <v>0</v>
      </c>
      <c r="CG89" s="68">
        <v>0</v>
      </c>
      <c r="CH89" s="68">
        <v>0</v>
      </c>
      <c r="CI89" s="68">
        <v>0</v>
      </c>
      <c r="CJ89" s="68">
        <v>0</v>
      </c>
      <c r="CK89" s="68">
        <v>0</v>
      </c>
      <c r="CL89" s="68">
        <v>0</v>
      </c>
      <c r="CM89" s="68">
        <v>0</v>
      </c>
      <c r="CN89" s="68">
        <v>0</v>
      </c>
      <c r="CO89" s="68">
        <v>0</v>
      </c>
      <c r="CP89" s="68">
        <v>0</v>
      </c>
      <c r="CQ89" s="68">
        <v>0</v>
      </c>
      <c r="CR89" s="68">
        <v>0</v>
      </c>
      <c r="CS89" s="68">
        <v>0</v>
      </c>
      <c r="CT89" s="68">
        <v>0</v>
      </c>
      <c r="CU89" s="68">
        <v>0</v>
      </c>
      <c r="CV89" s="68">
        <v>0</v>
      </c>
      <c r="CW89" s="68">
        <v>0</v>
      </c>
      <c r="CX89" s="68">
        <v>0</v>
      </c>
      <c r="CY89" s="68">
        <v>0</v>
      </c>
      <c r="CZ89" s="68">
        <v>0</v>
      </c>
      <c r="DA89" s="68">
        <v>0</v>
      </c>
      <c r="DB89" s="68">
        <v>0</v>
      </c>
      <c r="DC89" s="77">
        <v>0</v>
      </c>
    </row>
    <row r="90" spans="1:107">
      <c r="A90" s="57" t="s">
        <v>127</v>
      </c>
      <c r="B90" s="68">
        <v>224732.38</v>
      </c>
      <c r="C90" s="68">
        <v>202299.05</v>
      </c>
      <c r="D90" s="68">
        <v>0</v>
      </c>
      <c r="E90" s="68">
        <v>-1825.4</v>
      </c>
      <c r="F90" s="68">
        <v>0</v>
      </c>
      <c r="G90" s="68">
        <v>0</v>
      </c>
      <c r="H90" s="68">
        <v>0</v>
      </c>
      <c r="I90" s="68">
        <v>0</v>
      </c>
      <c r="J90" s="68">
        <v>22433.33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8">
        <v>0</v>
      </c>
      <c r="S90" s="68">
        <v>0</v>
      </c>
      <c r="T90" s="68">
        <v>0</v>
      </c>
      <c r="U90" s="68">
        <v>0</v>
      </c>
      <c r="V90" s="68">
        <v>0</v>
      </c>
      <c r="W90" s="68">
        <v>0</v>
      </c>
      <c r="X90" s="68">
        <v>-9127</v>
      </c>
      <c r="Y90" s="68">
        <v>0</v>
      </c>
      <c r="Z90" s="68">
        <v>1825.4</v>
      </c>
      <c r="AA90" s="68">
        <v>0</v>
      </c>
      <c r="AB90" s="68">
        <v>1825.4</v>
      </c>
      <c r="AC90" s="68">
        <v>1825.4</v>
      </c>
      <c r="AD90" s="68">
        <v>1825.4</v>
      </c>
      <c r="AE90" s="68">
        <v>0</v>
      </c>
      <c r="AF90" s="68">
        <v>0</v>
      </c>
      <c r="AG90" s="68">
        <v>0</v>
      </c>
      <c r="AH90" s="68">
        <v>0</v>
      </c>
      <c r="AI90" s="68">
        <v>0</v>
      </c>
      <c r="AJ90" s="68">
        <v>1825.4</v>
      </c>
      <c r="AK90" s="68">
        <v>0</v>
      </c>
      <c r="AL90" s="68">
        <v>0</v>
      </c>
      <c r="AM90" s="68">
        <v>0</v>
      </c>
      <c r="AN90" s="68">
        <v>0</v>
      </c>
      <c r="AO90" s="68">
        <v>0</v>
      </c>
      <c r="AP90" s="68">
        <v>0</v>
      </c>
      <c r="AQ90" s="68">
        <v>0</v>
      </c>
      <c r="AR90" s="68">
        <v>0</v>
      </c>
      <c r="AS90" s="68">
        <v>0</v>
      </c>
      <c r="AT90" s="68">
        <v>9180.65</v>
      </c>
      <c r="AU90" s="68">
        <v>658</v>
      </c>
      <c r="AV90" s="68">
        <v>3468</v>
      </c>
      <c r="AW90" s="68">
        <v>24876.14</v>
      </c>
      <c r="AX90" s="68">
        <v>7848.57</v>
      </c>
      <c r="AY90" s="68">
        <v>10723.39</v>
      </c>
      <c r="AZ90" s="68">
        <v>5238.66</v>
      </c>
      <c r="BA90" s="68">
        <v>1569</v>
      </c>
      <c r="BB90" s="68">
        <v>1182</v>
      </c>
      <c r="BC90" s="68">
        <v>14746</v>
      </c>
      <c r="BD90" s="68">
        <v>17161.91</v>
      </c>
      <c r="BE90" s="68">
        <v>13001.67</v>
      </c>
      <c r="BF90" s="68">
        <v>25290</v>
      </c>
      <c r="BG90" s="68">
        <v>47</v>
      </c>
      <c r="BH90" s="68">
        <v>4234.48</v>
      </c>
      <c r="BI90" s="68">
        <v>215</v>
      </c>
      <c r="BJ90" s="68">
        <v>386</v>
      </c>
      <c r="BK90" s="68">
        <v>17412</v>
      </c>
      <c r="BL90" s="68">
        <v>1395</v>
      </c>
      <c r="BM90" s="68">
        <v>968</v>
      </c>
      <c r="BN90" s="68">
        <v>574</v>
      </c>
      <c r="BO90" s="68">
        <v>539</v>
      </c>
      <c r="BP90" s="68">
        <v>1115</v>
      </c>
      <c r="BQ90" s="68">
        <v>218</v>
      </c>
      <c r="BR90" s="68">
        <v>385</v>
      </c>
      <c r="BS90" s="68">
        <v>365</v>
      </c>
      <c r="BT90" s="68">
        <v>372</v>
      </c>
      <c r="BU90" s="68">
        <v>1596</v>
      </c>
      <c r="BV90" s="68">
        <v>951</v>
      </c>
      <c r="BW90" s="68">
        <v>3143</v>
      </c>
      <c r="BX90" s="68">
        <v>163</v>
      </c>
      <c r="BY90" s="68">
        <v>7389</v>
      </c>
      <c r="BZ90" s="68">
        <v>162</v>
      </c>
      <c r="CA90" s="68">
        <v>495</v>
      </c>
      <c r="CB90" s="68">
        <v>430</v>
      </c>
      <c r="CC90" s="68">
        <v>4065.58</v>
      </c>
      <c r="CD90" s="68">
        <v>18500</v>
      </c>
      <c r="CE90" s="68">
        <v>542</v>
      </c>
      <c r="CF90" s="68">
        <v>16</v>
      </c>
      <c r="CG90" s="68">
        <v>3</v>
      </c>
      <c r="CH90" s="68">
        <v>103</v>
      </c>
      <c r="CI90" s="68">
        <v>111</v>
      </c>
      <c r="CJ90" s="68">
        <v>116</v>
      </c>
      <c r="CK90" s="68">
        <v>57</v>
      </c>
      <c r="CL90" s="68">
        <v>98</v>
      </c>
      <c r="CM90" s="68">
        <v>30</v>
      </c>
      <c r="CN90" s="68">
        <v>241</v>
      </c>
      <c r="CO90" s="68">
        <v>103</v>
      </c>
      <c r="CP90" s="68">
        <v>331</v>
      </c>
      <c r="CQ90" s="68">
        <v>134</v>
      </c>
      <c r="CR90" s="68">
        <v>25</v>
      </c>
      <c r="CS90" s="68">
        <v>48</v>
      </c>
      <c r="CT90" s="68">
        <v>20</v>
      </c>
      <c r="CU90" s="68">
        <v>34</v>
      </c>
      <c r="CV90" s="68">
        <v>15</v>
      </c>
      <c r="CW90" s="68">
        <v>0</v>
      </c>
      <c r="CX90" s="68">
        <v>74</v>
      </c>
      <c r="CY90" s="68">
        <v>10</v>
      </c>
      <c r="CZ90" s="68">
        <v>8</v>
      </c>
      <c r="DA90" s="68">
        <v>0</v>
      </c>
      <c r="DB90" s="68">
        <v>102</v>
      </c>
      <c r="DC90" s="77">
        <v>14</v>
      </c>
    </row>
    <row r="91" spans="1:107">
      <c r="A91" s="57" t="s">
        <v>128</v>
      </c>
      <c r="B91" s="68">
        <v>0</v>
      </c>
      <c r="C91" s="68">
        <v>0</v>
      </c>
      <c r="D91" s="68">
        <v>0</v>
      </c>
      <c r="E91" s="68">
        <v>0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8">
        <v>0</v>
      </c>
      <c r="S91" s="68">
        <v>0</v>
      </c>
      <c r="T91" s="68">
        <v>0</v>
      </c>
      <c r="U91" s="68">
        <v>0</v>
      </c>
      <c r="V91" s="68">
        <v>0</v>
      </c>
      <c r="W91" s="68">
        <v>0</v>
      </c>
      <c r="X91" s="68">
        <v>0</v>
      </c>
      <c r="Y91" s="68">
        <v>0</v>
      </c>
      <c r="Z91" s="68">
        <v>0</v>
      </c>
      <c r="AA91" s="68">
        <v>0</v>
      </c>
      <c r="AB91" s="68">
        <v>0</v>
      </c>
      <c r="AC91" s="68">
        <v>0</v>
      </c>
      <c r="AD91" s="68">
        <v>0</v>
      </c>
      <c r="AE91" s="68">
        <v>0</v>
      </c>
      <c r="AF91" s="68">
        <v>0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  <c r="AN91" s="68">
        <v>0</v>
      </c>
      <c r="AO91" s="68">
        <v>0</v>
      </c>
      <c r="AP91" s="68">
        <v>0</v>
      </c>
      <c r="AQ91" s="68">
        <v>0</v>
      </c>
      <c r="AR91" s="68">
        <v>0</v>
      </c>
      <c r="AS91" s="68">
        <v>0</v>
      </c>
      <c r="AT91" s="68">
        <v>0</v>
      </c>
      <c r="AU91" s="68">
        <v>0</v>
      </c>
      <c r="AV91" s="68">
        <v>0</v>
      </c>
      <c r="AW91" s="68">
        <v>0</v>
      </c>
      <c r="AX91" s="68">
        <v>0</v>
      </c>
      <c r="AY91" s="68">
        <v>0</v>
      </c>
      <c r="AZ91" s="68">
        <v>0</v>
      </c>
      <c r="BA91" s="68">
        <v>0</v>
      </c>
      <c r="BB91" s="68">
        <v>0</v>
      </c>
      <c r="BC91" s="68">
        <v>0</v>
      </c>
      <c r="BD91" s="68">
        <v>0</v>
      </c>
      <c r="BE91" s="68">
        <v>0</v>
      </c>
      <c r="BF91" s="68">
        <v>0</v>
      </c>
      <c r="BG91" s="68">
        <v>0</v>
      </c>
      <c r="BH91" s="68">
        <v>0</v>
      </c>
      <c r="BI91" s="68">
        <v>0</v>
      </c>
      <c r="BJ91" s="68">
        <v>0</v>
      </c>
      <c r="BK91" s="68">
        <v>0</v>
      </c>
      <c r="BL91" s="68">
        <v>0</v>
      </c>
      <c r="BM91" s="68">
        <v>0</v>
      </c>
      <c r="BN91" s="68">
        <v>0</v>
      </c>
      <c r="BO91" s="68">
        <v>0</v>
      </c>
      <c r="BP91" s="68">
        <v>0</v>
      </c>
      <c r="BQ91" s="68">
        <v>0</v>
      </c>
      <c r="BR91" s="68">
        <v>0</v>
      </c>
      <c r="BS91" s="68">
        <v>0</v>
      </c>
      <c r="BT91" s="68">
        <v>0</v>
      </c>
      <c r="BU91" s="68">
        <v>0</v>
      </c>
      <c r="BV91" s="68">
        <v>0</v>
      </c>
      <c r="BW91" s="68">
        <v>0</v>
      </c>
      <c r="BX91" s="68">
        <v>0</v>
      </c>
      <c r="BY91" s="68">
        <v>0</v>
      </c>
      <c r="BZ91" s="68">
        <v>0</v>
      </c>
      <c r="CA91" s="68">
        <v>0</v>
      </c>
      <c r="CB91" s="68">
        <v>0</v>
      </c>
      <c r="CC91" s="68">
        <v>0</v>
      </c>
      <c r="CD91" s="68">
        <v>0</v>
      </c>
      <c r="CE91" s="68">
        <v>0</v>
      </c>
      <c r="CF91" s="68">
        <v>0</v>
      </c>
      <c r="CG91" s="68">
        <v>0</v>
      </c>
      <c r="CH91" s="68">
        <v>0</v>
      </c>
      <c r="CI91" s="68">
        <v>0</v>
      </c>
      <c r="CJ91" s="68">
        <v>0</v>
      </c>
      <c r="CK91" s="68">
        <v>0</v>
      </c>
      <c r="CL91" s="68">
        <v>0</v>
      </c>
      <c r="CM91" s="68">
        <v>0</v>
      </c>
      <c r="CN91" s="68">
        <v>0</v>
      </c>
      <c r="CO91" s="68">
        <v>0</v>
      </c>
      <c r="CP91" s="68">
        <v>0</v>
      </c>
      <c r="CQ91" s="68">
        <v>0</v>
      </c>
      <c r="CR91" s="68">
        <v>0</v>
      </c>
      <c r="CS91" s="68">
        <v>0</v>
      </c>
      <c r="CT91" s="68">
        <v>0</v>
      </c>
      <c r="CU91" s="68">
        <v>0</v>
      </c>
      <c r="CV91" s="68">
        <v>0</v>
      </c>
      <c r="CW91" s="68">
        <v>0</v>
      </c>
      <c r="CX91" s="68">
        <v>0</v>
      </c>
      <c r="CY91" s="68">
        <v>0</v>
      </c>
      <c r="CZ91" s="68">
        <v>0</v>
      </c>
      <c r="DA91" s="68">
        <v>0</v>
      </c>
      <c r="DB91" s="68">
        <v>0</v>
      </c>
      <c r="DC91" s="77">
        <v>0</v>
      </c>
    </row>
    <row r="92" spans="1:107">
      <c r="A92" s="57" t="s">
        <v>129</v>
      </c>
      <c r="B92" s="68">
        <v>68929.82</v>
      </c>
      <c r="C92" s="68">
        <v>64279.82</v>
      </c>
      <c r="D92" s="68">
        <v>2760</v>
      </c>
      <c r="E92" s="68">
        <v>0</v>
      </c>
      <c r="F92" s="68">
        <v>300</v>
      </c>
      <c r="G92" s="68">
        <v>0</v>
      </c>
      <c r="H92" s="68">
        <v>0</v>
      </c>
      <c r="I92" s="68">
        <v>0</v>
      </c>
      <c r="J92" s="68">
        <v>1590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  <c r="S92" s="68">
        <v>0</v>
      </c>
      <c r="T92" s="68">
        <v>0</v>
      </c>
      <c r="U92" s="68">
        <v>0</v>
      </c>
      <c r="V92" s="68">
        <v>0</v>
      </c>
      <c r="W92" s="68">
        <v>0</v>
      </c>
      <c r="X92" s="68">
        <v>0</v>
      </c>
      <c r="Y92" s="68">
        <v>0</v>
      </c>
      <c r="Z92" s="68">
        <v>0</v>
      </c>
      <c r="AA92" s="68">
        <v>0</v>
      </c>
      <c r="AB92" s="68">
        <v>0</v>
      </c>
      <c r="AC92" s="68">
        <v>0</v>
      </c>
      <c r="AD92" s="68">
        <v>0</v>
      </c>
      <c r="AE92" s="68">
        <v>0</v>
      </c>
      <c r="AF92" s="68">
        <v>2760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300</v>
      </c>
      <c r="AM92" s="68">
        <v>0</v>
      </c>
      <c r="AN92" s="68">
        <v>0</v>
      </c>
      <c r="AO92" s="68">
        <v>0</v>
      </c>
      <c r="AP92" s="68">
        <v>0</v>
      </c>
      <c r="AQ92" s="68">
        <v>0</v>
      </c>
      <c r="AR92" s="68">
        <v>0</v>
      </c>
      <c r="AS92" s="68">
        <v>0</v>
      </c>
      <c r="AT92" s="68">
        <v>19197.09</v>
      </c>
      <c r="AU92" s="68">
        <v>0</v>
      </c>
      <c r="AV92" s="68">
        <v>0</v>
      </c>
      <c r="AW92" s="68">
        <v>0</v>
      </c>
      <c r="AX92" s="68">
        <v>10513.73</v>
      </c>
      <c r="AY92" s="68">
        <v>0</v>
      </c>
      <c r="AZ92" s="68">
        <v>0</v>
      </c>
      <c r="BA92" s="68">
        <v>630</v>
      </c>
      <c r="BB92" s="68">
        <v>0</v>
      </c>
      <c r="BC92" s="68">
        <v>0</v>
      </c>
      <c r="BD92" s="68">
        <v>16863</v>
      </c>
      <c r="BE92" s="68">
        <v>0</v>
      </c>
      <c r="BF92" s="68">
        <v>0</v>
      </c>
      <c r="BG92" s="68">
        <v>0</v>
      </c>
      <c r="BH92" s="68">
        <v>850</v>
      </c>
      <c r="BI92" s="68">
        <v>0</v>
      </c>
      <c r="BJ92" s="68">
        <v>0</v>
      </c>
      <c r="BK92" s="68">
        <v>0</v>
      </c>
      <c r="BL92" s="68">
        <v>0</v>
      </c>
      <c r="BM92" s="68">
        <v>0</v>
      </c>
      <c r="BN92" s="68">
        <v>0</v>
      </c>
      <c r="BO92" s="68">
        <v>0</v>
      </c>
      <c r="BP92" s="68">
        <v>0</v>
      </c>
      <c r="BQ92" s="68">
        <v>0</v>
      </c>
      <c r="BR92" s="68">
        <v>0</v>
      </c>
      <c r="BS92" s="68">
        <v>0</v>
      </c>
      <c r="BT92" s="68">
        <v>0</v>
      </c>
      <c r="BU92" s="68">
        <v>0</v>
      </c>
      <c r="BV92" s="68">
        <v>0</v>
      </c>
      <c r="BW92" s="68">
        <v>6900</v>
      </c>
      <c r="BX92" s="68">
        <v>0</v>
      </c>
      <c r="BY92" s="68">
        <v>2800</v>
      </c>
      <c r="BZ92" s="68">
        <v>0</v>
      </c>
      <c r="CA92" s="68">
        <v>0</v>
      </c>
      <c r="CB92" s="68">
        <v>0</v>
      </c>
      <c r="CC92" s="68">
        <v>0</v>
      </c>
      <c r="CD92" s="68">
        <v>0</v>
      </c>
      <c r="CE92" s="68">
        <v>0</v>
      </c>
      <c r="CF92" s="68">
        <v>0</v>
      </c>
      <c r="CG92" s="68">
        <v>0</v>
      </c>
      <c r="CH92" s="68">
        <v>0</v>
      </c>
      <c r="CI92" s="68">
        <v>0</v>
      </c>
      <c r="CJ92" s="68">
        <v>0</v>
      </c>
      <c r="CK92" s="68">
        <v>0</v>
      </c>
      <c r="CL92" s="68">
        <v>0</v>
      </c>
      <c r="CM92" s="68">
        <v>0</v>
      </c>
      <c r="CN92" s="68">
        <v>0</v>
      </c>
      <c r="CO92" s="68">
        <v>0</v>
      </c>
      <c r="CP92" s="68">
        <v>0</v>
      </c>
      <c r="CQ92" s="68">
        <v>0</v>
      </c>
      <c r="CR92" s="68">
        <v>0</v>
      </c>
      <c r="CS92" s="68">
        <v>0</v>
      </c>
      <c r="CT92" s="68">
        <v>0</v>
      </c>
      <c r="CU92" s="68">
        <v>0</v>
      </c>
      <c r="CV92" s="68">
        <v>0</v>
      </c>
      <c r="CW92" s="68">
        <v>0</v>
      </c>
      <c r="CX92" s="68">
        <v>0</v>
      </c>
      <c r="CY92" s="68">
        <v>0</v>
      </c>
      <c r="CZ92" s="68">
        <v>6526</v>
      </c>
      <c r="DA92" s="68">
        <v>0</v>
      </c>
      <c r="DB92" s="68">
        <v>0</v>
      </c>
      <c r="DC92" s="77">
        <v>0</v>
      </c>
    </row>
    <row r="93" spans="1:107">
      <c r="A93" s="57" t="s">
        <v>130</v>
      </c>
      <c r="B93" s="68">
        <v>378000</v>
      </c>
      <c r="C93" s="68">
        <v>28000</v>
      </c>
      <c r="D93" s="68">
        <v>0</v>
      </c>
      <c r="E93" s="68">
        <v>0</v>
      </c>
      <c r="F93" s="68">
        <v>0</v>
      </c>
      <c r="G93" s="68">
        <v>0</v>
      </c>
      <c r="H93" s="68">
        <v>973217</v>
      </c>
      <c r="I93" s="68">
        <v>0</v>
      </c>
      <c r="J93" s="68">
        <v>-623217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0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  <c r="Y93" s="68">
        <v>0</v>
      </c>
      <c r="Z93" s="68">
        <v>0</v>
      </c>
      <c r="AA93" s="68">
        <v>0</v>
      </c>
      <c r="AB93" s="68">
        <v>0</v>
      </c>
      <c r="AC93" s="68">
        <v>0</v>
      </c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68">
        <v>0</v>
      </c>
      <c r="AQ93" s="68">
        <v>0</v>
      </c>
      <c r="AR93" s="68">
        <v>0</v>
      </c>
      <c r="AS93" s="68">
        <v>0</v>
      </c>
      <c r="AT93" s="68">
        <v>0</v>
      </c>
      <c r="AU93" s="68">
        <v>0</v>
      </c>
      <c r="AV93" s="68">
        <v>0</v>
      </c>
      <c r="AW93" s="68">
        <v>0</v>
      </c>
      <c r="AX93" s="68">
        <v>0</v>
      </c>
      <c r="AY93" s="68">
        <v>0</v>
      </c>
      <c r="AZ93" s="68">
        <v>0</v>
      </c>
      <c r="BA93" s="68">
        <v>0</v>
      </c>
      <c r="BB93" s="68">
        <v>8000</v>
      </c>
      <c r="BC93" s="68">
        <v>0</v>
      </c>
      <c r="BD93" s="68">
        <v>0</v>
      </c>
      <c r="BE93" s="68">
        <v>0</v>
      </c>
      <c r="BF93" s="68">
        <v>0</v>
      </c>
      <c r="BG93" s="68">
        <v>0</v>
      </c>
      <c r="BH93" s="68">
        <v>0</v>
      </c>
      <c r="BI93" s="68">
        <v>0</v>
      </c>
      <c r="BJ93" s="68">
        <v>0</v>
      </c>
      <c r="BK93" s="68">
        <v>0</v>
      </c>
      <c r="BL93" s="68">
        <v>0</v>
      </c>
      <c r="BM93" s="68">
        <v>0</v>
      </c>
      <c r="BN93" s="68">
        <v>0</v>
      </c>
      <c r="BO93" s="68">
        <v>0</v>
      </c>
      <c r="BP93" s="68">
        <v>0</v>
      </c>
      <c r="BQ93" s="68">
        <v>0</v>
      </c>
      <c r="BR93" s="68">
        <v>0</v>
      </c>
      <c r="BS93" s="68">
        <v>0</v>
      </c>
      <c r="BT93" s="68">
        <v>0</v>
      </c>
      <c r="BU93" s="68">
        <v>0</v>
      </c>
      <c r="BV93" s="68">
        <v>0</v>
      </c>
      <c r="BW93" s="68">
        <v>0</v>
      </c>
      <c r="BX93" s="68">
        <v>0</v>
      </c>
      <c r="BY93" s="68">
        <v>0</v>
      </c>
      <c r="BZ93" s="68">
        <v>0</v>
      </c>
      <c r="CA93" s="68">
        <v>0</v>
      </c>
      <c r="CB93" s="68">
        <v>0</v>
      </c>
      <c r="CC93" s="68">
        <v>0</v>
      </c>
      <c r="CD93" s="68">
        <v>0</v>
      </c>
      <c r="CE93" s="68">
        <v>0</v>
      </c>
      <c r="CF93" s="68">
        <v>0</v>
      </c>
      <c r="CG93" s="68">
        <v>0</v>
      </c>
      <c r="CH93" s="68">
        <v>0</v>
      </c>
      <c r="CI93" s="68">
        <v>0</v>
      </c>
      <c r="CJ93" s="68">
        <v>0</v>
      </c>
      <c r="CK93" s="68">
        <v>0</v>
      </c>
      <c r="CL93" s="68">
        <v>0</v>
      </c>
      <c r="CM93" s="68">
        <v>0</v>
      </c>
      <c r="CN93" s="68">
        <v>0</v>
      </c>
      <c r="CO93" s="68">
        <v>0</v>
      </c>
      <c r="CP93" s="68">
        <v>0</v>
      </c>
      <c r="CQ93" s="68">
        <v>0</v>
      </c>
      <c r="CR93" s="68">
        <v>0</v>
      </c>
      <c r="CS93" s="68">
        <v>0</v>
      </c>
      <c r="CT93" s="68">
        <v>0</v>
      </c>
      <c r="CU93" s="68">
        <v>0</v>
      </c>
      <c r="CV93" s="68">
        <v>0</v>
      </c>
      <c r="CW93" s="68">
        <v>0</v>
      </c>
      <c r="CX93" s="68">
        <v>20000</v>
      </c>
      <c r="CY93" s="68">
        <v>0</v>
      </c>
      <c r="CZ93" s="68">
        <v>0</v>
      </c>
      <c r="DA93" s="68">
        <v>0</v>
      </c>
      <c r="DB93" s="68">
        <v>0</v>
      </c>
      <c r="DC93" s="77">
        <v>0</v>
      </c>
    </row>
    <row r="94" spans="1:107">
      <c r="A94" s="57" t="s">
        <v>131</v>
      </c>
      <c r="B94" s="68">
        <v>0</v>
      </c>
      <c r="C94" s="68">
        <v>0</v>
      </c>
      <c r="D94" s="68">
        <v>0</v>
      </c>
      <c r="E94" s="68">
        <v>0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8">
        <v>0</v>
      </c>
      <c r="AC94" s="68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8">
        <v>0</v>
      </c>
      <c r="AQ94" s="68">
        <v>0</v>
      </c>
      <c r="AR94" s="68">
        <v>0</v>
      </c>
      <c r="AS94" s="68">
        <v>0</v>
      </c>
      <c r="AT94" s="68">
        <v>0</v>
      </c>
      <c r="AU94" s="68">
        <v>0</v>
      </c>
      <c r="AV94" s="68">
        <v>0</v>
      </c>
      <c r="AW94" s="68">
        <v>0</v>
      </c>
      <c r="AX94" s="68">
        <v>0</v>
      </c>
      <c r="AY94" s="68">
        <v>0</v>
      </c>
      <c r="AZ94" s="68">
        <v>0</v>
      </c>
      <c r="BA94" s="68">
        <v>0</v>
      </c>
      <c r="BB94" s="68">
        <v>0</v>
      </c>
      <c r="BC94" s="68">
        <v>0</v>
      </c>
      <c r="BD94" s="68">
        <v>0</v>
      </c>
      <c r="BE94" s="68">
        <v>0</v>
      </c>
      <c r="BF94" s="68">
        <v>0</v>
      </c>
      <c r="BG94" s="68">
        <v>0</v>
      </c>
      <c r="BH94" s="68">
        <v>0</v>
      </c>
      <c r="BI94" s="68">
        <v>0</v>
      </c>
      <c r="BJ94" s="68">
        <v>0</v>
      </c>
      <c r="BK94" s="68">
        <v>0</v>
      </c>
      <c r="BL94" s="68">
        <v>0</v>
      </c>
      <c r="BM94" s="68">
        <v>0</v>
      </c>
      <c r="BN94" s="68">
        <v>0</v>
      </c>
      <c r="BO94" s="68">
        <v>0</v>
      </c>
      <c r="BP94" s="68">
        <v>0</v>
      </c>
      <c r="BQ94" s="68">
        <v>0</v>
      </c>
      <c r="BR94" s="68">
        <v>0</v>
      </c>
      <c r="BS94" s="68">
        <v>0</v>
      </c>
      <c r="BT94" s="68">
        <v>0</v>
      </c>
      <c r="BU94" s="68">
        <v>0</v>
      </c>
      <c r="BV94" s="68">
        <v>0</v>
      </c>
      <c r="BW94" s="68">
        <v>0</v>
      </c>
      <c r="BX94" s="68">
        <v>0</v>
      </c>
      <c r="BY94" s="68">
        <v>0</v>
      </c>
      <c r="BZ94" s="68">
        <v>0</v>
      </c>
      <c r="CA94" s="68">
        <v>0</v>
      </c>
      <c r="CB94" s="68">
        <v>0</v>
      </c>
      <c r="CC94" s="68">
        <v>0</v>
      </c>
      <c r="CD94" s="68">
        <v>0</v>
      </c>
      <c r="CE94" s="68">
        <v>0</v>
      </c>
      <c r="CF94" s="68">
        <v>0</v>
      </c>
      <c r="CG94" s="68">
        <v>0</v>
      </c>
      <c r="CH94" s="68">
        <v>0</v>
      </c>
      <c r="CI94" s="68">
        <v>0</v>
      </c>
      <c r="CJ94" s="68">
        <v>0</v>
      </c>
      <c r="CK94" s="68">
        <v>0</v>
      </c>
      <c r="CL94" s="68">
        <v>0</v>
      </c>
      <c r="CM94" s="68">
        <v>0</v>
      </c>
      <c r="CN94" s="68">
        <v>0</v>
      </c>
      <c r="CO94" s="68">
        <v>0</v>
      </c>
      <c r="CP94" s="68">
        <v>0</v>
      </c>
      <c r="CQ94" s="68">
        <v>0</v>
      </c>
      <c r="CR94" s="68">
        <v>0</v>
      </c>
      <c r="CS94" s="68">
        <v>0</v>
      </c>
      <c r="CT94" s="68">
        <v>0</v>
      </c>
      <c r="CU94" s="68">
        <v>0</v>
      </c>
      <c r="CV94" s="68">
        <v>0</v>
      </c>
      <c r="CW94" s="68">
        <v>0</v>
      </c>
      <c r="CX94" s="68">
        <v>0</v>
      </c>
      <c r="CY94" s="68">
        <v>0</v>
      </c>
      <c r="CZ94" s="68">
        <v>0</v>
      </c>
      <c r="DA94" s="68">
        <v>0</v>
      </c>
      <c r="DB94" s="68">
        <v>0</v>
      </c>
      <c r="DC94" s="77">
        <v>0</v>
      </c>
    </row>
    <row r="95" spans="1:107">
      <c r="A95" s="57" t="s">
        <v>132</v>
      </c>
      <c r="B95" s="68">
        <v>0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  <c r="S95" s="68">
        <v>0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8">
        <v>0</v>
      </c>
      <c r="AC95" s="68">
        <v>0</v>
      </c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68">
        <v>0</v>
      </c>
      <c r="AQ95" s="68">
        <v>0</v>
      </c>
      <c r="AR95" s="68">
        <v>0</v>
      </c>
      <c r="AS95" s="68">
        <v>0</v>
      </c>
      <c r="AT95" s="68">
        <v>0</v>
      </c>
      <c r="AU95" s="68">
        <v>0</v>
      </c>
      <c r="AV95" s="68">
        <v>0</v>
      </c>
      <c r="AW95" s="68">
        <v>0</v>
      </c>
      <c r="AX95" s="68">
        <v>0</v>
      </c>
      <c r="AY95" s="68">
        <v>0</v>
      </c>
      <c r="AZ95" s="68">
        <v>0</v>
      </c>
      <c r="BA95" s="68">
        <v>0</v>
      </c>
      <c r="BB95" s="68">
        <v>0</v>
      </c>
      <c r="BC95" s="68">
        <v>0</v>
      </c>
      <c r="BD95" s="68">
        <v>0</v>
      </c>
      <c r="BE95" s="68">
        <v>0</v>
      </c>
      <c r="BF95" s="68">
        <v>0</v>
      </c>
      <c r="BG95" s="68">
        <v>0</v>
      </c>
      <c r="BH95" s="68">
        <v>0</v>
      </c>
      <c r="BI95" s="68">
        <v>0</v>
      </c>
      <c r="BJ95" s="68">
        <v>0</v>
      </c>
      <c r="BK95" s="68">
        <v>0</v>
      </c>
      <c r="BL95" s="68">
        <v>0</v>
      </c>
      <c r="BM95" s="68">
        <v>0</v>
      </c>
      <c r="BN95" s="68">
        <v>0</v>
      </c>
      <c r="BO95" s="68">
        <v>0</v>
      </c>
      <c r="BP95" s="68">
        <v>0</v>
      </c>
      <c r="BQ95" s="68">
        <v>0</v>
      </c>
      <c r="BR95" s="68">
        <v>0</v>
      </c>
      <c r="BS95" s="68">
        <v>0</v>
      </c>
      <c r="BT95" s="68">
        <v>0</v>
      </c>
      <c r="BU95" s="68">
        <v>0</v>
      </c>
      <c r="BV95" s="68">
        <v>0</v>
      </c>
      <c r="BW95" s="68">
        <v>0</v>
      </c>
      <c r="BX95" s="68">
        <v>0</v>
      </c>
      <c r="BY95" s="68">
        <v>0</v>
      </c>
      <c r="BZ95" s="68">
        <v>0</v>
      </c>
      <c r="CA95" s="68">
        <v>0</v>
      </c>
      <c r="CB95" s="68">
        <v>0</v>
      </c>
      <c r="CC95" s="68">
        <v>0</v>
      </c>
      <c r="CD95" s="68">
        <v>0</v>
      </c>
      <c r="CE95" s="68">
        <v>0</v>
      </c>
      <c r="CF95" s="68">
        <v>0</v>
      </c>
      <c r="CG95" s="68">
        <v>0</v>
      </c>
      <c r="CH95" s="68">
        <v>0</v>
      </c>
      <c r="CI95" s="68">
        <v>0</v>
      </c>
      <c r="CJ95" s="68">
        <v>0</v>
      </c>
      <c r="CK95" s="68">
        <v>0</v>
      </c>
      <c r="CL95" s="68">
        <v>0</v>
      </c>
      <c r="CM95" s="68">
        <v>0</v>
      </c>
      <c r="CN95" s="68">
        <v>0</v>
      </c>
      <c r="CO95" s="68">
        <v>0</v>
      </c>
      <c r="CP95" s="68">
        <v>0</v>
      </c>
      <c r="CQ95" s="68">
        <v>0</v>
      </c>
      <c r="CR95" s="68">
        <v>0</v>
      </c>
      <c r="CS95" s="68">
        <v>0</v>
      </c>
      <c r="CT95" s="68">
        <v>0</v>
      </c>
      <c r="CU95" s="68">
        <v>0</v>
      </c>
      <c r="CV95" s="68">
        <v>0</v>
      </c>
      <c r="CW95" s="68">
        <v>0</v>
      </c>
      <c r="CX95" s="68">
        <v>0</v>
      </c>
      <c r="CY95" s="68">
        <v>0</v>
      </c>
      <c r="CZ95" s="68">
        <v>0</v>
      </c>
      <c r="DA95" s="68">
        <v>0</v>
      </c>
      <c r="DB95" s="68">
        <v>0</v>
      </c>
      <c r="DC95" s="77">
        <v>0</v>
      </c>
    </row>
    <row r="96" spans="1:107">
      <c r="A96" s="57" t="s">
        <v>133</v>
      </c>
      <c r="B96" s="68">
        <v>584906</v>
      </c>
      <c r="C96" s="68">
        <v>180996.99</v>
      </c>
      <c r="D96" s="68">
        <v>0</v>
      </c>
      <c r="E96" s="68">
        <v>0</v>
      </c>
      <c r="F96" s="68">
        <v>-257.66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  <c r="S96" s="68">
        <v>0</v>
      </c>
      <c r="T96" s="68">
        <v>0</v>
      </c>
      <c r="U96" s="68">
        <v>404166.67</v>
      </c>
      <c r="V96" s="68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68">
        <v>0</v>
      </c>
      <c r="AC96" s="68">
        <v>0</v>
      </c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-257.66</v>
      </c>
      <c r="AL96" s="68">
        <v>0</v>
      </c>
      <c r="AM96" s="68">
        <v>0</v>
      </c>
      <c r="AN96" s="68">
        <v>0</v>
      </c>
      <c r="AO96" s="68">
        <v>0</v>
      </c>
      <c r="AP96" s="68">
        <v>0</v>
      </c>
      <c r="AQ96" s="68">
        <v>0</v>
      </c>
      <c r="AR96" s="68">
        <v>0</v>
      </c>
      <c r="AS96" s="68">
        <v>0</v>
      </c>
      <c r="AT96" s="68">
        <v>6755</v>
      </c>
      <c r="AU96" s="68">
        <v>11530</v>
      </c>
      <c r="AV96" s="68">
        <v>9733</v>
      </c>
      <c r="AW96" s="68">
        <v>5847</v>
      </c>
      <c r="AX96" s="68">
        <v>8358</v>
      </c>
      <c r="AY96" s="68">
        <v>7980</v>
      </c>
      <c r="AZ96" s="68">
        <v>3215</v>
      </c>
      <c r="BA96" s="68">
        <v>13494</v>
      </c>
      <c r="BB96" s="68">
        <v>5183</v>
      </c>
      <c r="BC96" s="68">
        <v>2630</v>
      </c>
      <c r="BD96" s="68">
        <v>10980</v>
      </c>
      <c r="BE96" s="68">
        <v>6280</v>
      </c>
      <c r="BF96" s="68">
        <v>6473</v>
      </c>
      <c r="BG96" s="68">
        <v>9893.02</v>
      </c>
      <c r="BH96" s="68">
        <v>10650</v>
      </c>
      <c r="BI96" s="68">
        <v>3122</v>
      </c>
      <c r="BJ96" s="68">
        <v>6030</v>
      </c>
      <c r="BK96" s="68">
        <v>3308</v>
      </c>
      <c r="BL96" s="68">
        <v>2888</v>
      </c>
      <c r="BM96" s="68">
        <v>1311</v>
      </c>
      <c r="BN96" s="68">
        <v>2251</v>
      </c>
      <c r="BO96" s="68">
        <v>2960</v>
      </c>
      <c r="BP96" s="68">
        <v>644</v>
      </c>
      <c r="BQ96" s="68">
        <v>1098</v>
      </c>
      <c r="BR96" s="68">
        <v>612</v>
      </c>
      <c r="BS96" s="68">
        <v>4520</v>
      </c>
      <c r="BT96" s="68">
        <v>672</v>
      </c>
      <c r="BU96" s="68">
        <v>1306</v>
      </c>
      <c r="BV96" s="68">
        <v>1127</v>
      </c>
      <c r="BW96" s="68">
        <v>825</v>
      </c>
      <c r="BX96" s="68">
        <v>388</v>
      </c>
      <c r="BY96" s="68">
        <v>974</v>
      </c>
      <c r="BZ96" s="68">
        <v>287</v>
      </c>
      <c r="CA96" s="68">
        <v>378</v>
      </c>
      <c r="CB96" s="68">
        <v>956</v>
      </c>
      <c r="CC96" s="68">
        <v>552</v>
      </c>
      <c r="CD96" s="68">
        <v>1664</v>
      </c>
      <c r="CE96" s="68">
        <v>338</v>
      </c>
      <c r="CF96" s="68">
        <v>0</v>
      </c>
      <c r="CG96" s="68">
        <v>91</v>
      </c>
      <c r="CH96" s="68">
        <v>246</v>
      </c>
      <c r="CI96" s="68">
        <v>0</v>
      </c>
      <c r="CJ96" s="68">
        <v>62</v>
      </c>
      <c r="CK96" s="68">
        <v>27.79</v>
      </c>
      <c r="CL96" s="68">
        <v>0</v>
      </c>
      <c r="CM96" s="68">
        <v>111</v>
      </c>
      <c r="CN96" s="68">
        <v>12</v>
      </c>
      <c r="CO96" s="68">
        <v>0</v>
      </c>
      <c r="CP96" s="68">
        <v>68</v>
      </c>
      <c r="CQ96" s="68">
        <v>42</v>
      </c>
      <c r="CR96" s="68">
        <v>0</v>
      </c>
      <c r="CS96" s="68">
        <v>168</v>
      </c>
      <c r="CT96" s="68">
        <v>0</v>
      </c>
      <c r="CU96" s="68">
        <v>53</v>
      </c>
      <c r="CV96" s="68">
        <v>0</v>
      </c>
      <c r="CW96" s="68">
        <v>0</v>
      </c>
      <c r="CX96" s="68">
        <v>0</v>
      </c>
      <c r="CY96" s="68">
        <v>0</v>
      </c>
      <c r="CZ96" s="68">
        <v>0</v>
      </c>
      <c r="DA96" s="68">
        <v>0</v>
      </c>
      <c r="DB96" s="68">
        <v>1904.18</v>
      </c>
      <c r="DC96" s="77">
        <v>21000</v>
      </c>
    </row>
    <row r="97" spans="1:107">
      <c r="A97" s="57" t="s">
        <v>134</v>
      </c>
      <c r="B97" s="68">
        <v>6758.87</v>
      </c>
      <c r="C97" s="68">
        <v>6232.34</v>
      </c>
      <c r="D97" s="68">
        <v>0</v>
      </c>
      <c r="E97" s="68">
        <v>0</v>
      </c>
      <c r="F97" s="68">
        <v>385.02</v>
      </c>
      <c r="G97" s="68">
        <v>0</v>
      </c>
      <c r="H97" s="68">
        <v>0</v>
      </c>
      <c r="I97" s="68">
        <v>0</v>
      </c>
      <c r="J97" s="68">
        <v>0</v>
      </c>
      <c r="K97" s="68">
        <v>141.51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  <c r="S97" s="68">
        <v>0</v>
      </c>
      <c r="T97" s="68">
        <v>0</v>
      </c>
      <c r="U97" s="68">
        <v>0</v>
      </c>
      <c r="V97" s="68">
        <v>0</v>
      </c>
      <c r="W97" s="68">
        <v>0</v>
      </c>
      <c r="X97" s="68">
        <v>0</v>
      </c>
      <c r="Y97" s="68">
        <v>0</v>
      </c>
      <c r="Z97" s="68">
        <v>0</v>
      </c>
      <c r="AA97" s="68">
        <v>0</v>
      </c>
      <c r="AB97" s="68">
        <v>0</v>
      </c>
      <c r="AC97" s="68">
        <v>0</v>
      </c>
      <c r="AD97" s="68">
        <v>0</v>
      </c>
      <c r="AE97" s="68">
        <v>0</v>
      </c>
      <c r="AF97" s="68">
        <v>0</v>
      </c>
      <c r="AG97" s="68">
        <v>0</v>
      </c>
      <c r="AH97" s="68">
        <v>0</v>
      </c>
      <c r="AI97" s="68">
        <v>0</v>
      </c>
      <c r="AJ97" s="68">
        <v>0</v>
      </c>
      <c r="AK97" s="68">
        <v>385.02</v>
      </c>
      <c r="AL97" s="68">
        <v>0</v>
      </c>
      <c r="AM97" s="68">
        <v>0</v>
      </c>
      <c r="AN97" s="68">
        <v>0</v>
      </c>
      <c r="AO97" s="68">
        <v>0</v>
      </c>
      <c r="AP97" s="68">
        <v>0</v>
      </c>
      <c r="AQ97" s="68">
        <v>0</v>
      </c>
      <c r="AR97" s="68">
        <v>0</v>
      </c>
      <c r="AS97" s="68">
        <v>0</v>
      </c>
      <c r="AT97" s="68">
        <v>0</v>
      </c>
      <c r="AU97" s="68">
        <v>0</v>
      </c>
      <c r="AV97" s="68">
        <v>0</v>
      </c>
      <c r="AW97" s="68">
        <v>0</v>
      </c>
      <c r="AX97" s="68">
        <v>0</v>
      </c>
      <c r="AY97" s="68">
        <v>0</v>
      </c>
      <c r="AZ97" s="68">
        <v>0</v>
      </c>
      <c r="BA97" s="68">
        <v>0</v>
      </c>
      <c r="BB97" s="68">
        <v>798</v>
      </c>
      <c r="BC97" s="68">
        <v>3944.34</v>
      </c>
      <c r="BD97" s="68">
        <v>0</v>
      </c>
      <c r="BE97" s="68">
        <v>0</v>
      </c>
      <c r="BF97" s="68">
        <v>60</v>
      </c>
      <c r="BG97" s="68">
        <v>100</v>
      </c>
      <c r="BH97" s="68">
        <v>0</v>
      </c>
      <c r="BI97" s="68">
        <v>260</v>
      </c>
      <c r="BJ97" s="68">
        <v>0</v>
      </c>
      <c r="BK97" s="68">
        <v>0</v>
      </c>
      <c r="BL97" s="68">
        <v>0</v>
      </c>
      <c r="BM97" s="68">
        <v>0</v>
      </c>
      <c r="BN97" s="68">
        <v>0</v>
      </c>
      <c r="BO97" s="68">
        <v>260</v>
      </c>
      <c r="BP97" s="68">
        <v>0</v>
      </c>
      <c r="BQ97" s="68">
        <v>0</v>
      </c>
      <c r="BR97" s="68">
        <v>0</v>
      </c>
      <c r="BS97" s="68">
        <v>150</v>
      </c>
      <c r="BT97" s="68">
        <v>0</v>
      </c>
      <c r="BU97" s="68">
        <v>0</v>
      </c>
      <c r="BV97" s="68">
        <v>0</v>
      </c>
      <c r="BW97" s="68">
        <v>0</v>
      </c>
      <c r="BX97" s="68">
        <v>0</v>
      </c>
      <c r="BY97" s="68">
        <v>260</v>
      </c>
      <c r="BZ97" s="68">
        <v>0</v>
      </c>
      <c r="CA97" s="68">
        <v>0</v>
      </c>
      <c r="CB97" s="68">
        <v>0</v>
      </c>
      <c r="CC97" s="68">
        <v>0</v>
      </c>
      <c r="CD97" s="68">
        <v>0</v>
      </c>
      <c r="CE97" s="68">
        <v>0</v>
      </c>
      <c r="CF97" s="68">
        <v>0</v>
      </c>
      <c r="CG97" s="68">
        <v>0</v>
      </c>
      <c r="CH97" s="68">
        <v>0</v>
      </c>
      <c r="CI97" s="68">
        <v>0</v>
      </c>
      <c r="CJ97" s="68">
        <v>0</v>
      </c>
      <c r="CK97" s="68">
        <v>0</v>
      </c>
      <c r="CL97" s="68">
        <v>0</v>
      </c>
      <c r="CM97" s="68">
        <v>0</v>
      </c>
      <c r="CN97" s="68">
        <v>0</v>
      </c>
      <c r="CO97" s="68">
        <v>0</v>
      </c>
      <c r="CP97" s="68">
        <v>0</v>
      </c>
      <c r="CQ97" s="68">
        <v>0</v>
      </c>
      <c r="CR97" s="68">
        <v>0</v>
      </c>
      <c r="CS97" s="68">
        <v>0</v>
      </c>
      <c r="CT97" s="68">
        <v>0</v>
      </c>
      <c r="CU97" s="68">
        <v>0</v>
      </c>
      <c r="CV97" s="68">
        <v>0</v>
      </c>
      <c r="CW97" s="68">
        <v>0</v>
      </c>
      <c r="CX97" s="68">
        <v>0</v>
      </c>
      <c r="CY97" s="68">
        <v>0</v>
      </c>
      <c r="CZ97" s="68">
        <v>0</v>
      </c>
      <c r="DA97" s="68">
        <v>0</v>
      </c>
      <c r="DB97" s="68">
        <v>0</v>
      </c>
      <c r="DC97" s="77">
        <v>400</v>
      </c>
    </row>
    <row r="98" spans="1:107">
      <c r="A98" s="57" t="s">
        <v>135</v>
      </c>
      <c r="B98" s="68">
        <v>2089346.27</v>
      </c>
      <c r="C98" s="68">
        <v>1948970.44</v>
      </c>
      <c r="D98" s="68">
        <v>1950</v>
      </c>
      <c r="E98" s="68">
        <v>36818.23</v>
      </c>
      <c r="F98" s="68">
        <v>87857.6</v>
      </c>
      <c r="G98" s="68">
        <v>0</v>
      </c>
      <c r="H98" s="68">
        <v>0</v>
      </c>
      <c r="I98" s="68">
        <v>0</v>
      </c>
      <c r="J98" s="68">
        <v>13750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  <c r="S98" s="68">
        <v>0</v>
      </c>
      <c r="T98" s="68">
        <v>0</v>
      </c>
      <c r="U98" s="68">
        <v>0</v>
      </c>
      <c r="V98" s="68">
        <v>0</v>
      </c>
      <c r="W98" s="68">
        <v>0</v>
      </c>
      <c r="X98" s="68">
        <v>35264.83</v>
      </c>
      <c r="Y98" s="68">
        <v>0</v>
      </c>
      <c r="Z98" s="68">
        <v>776.7</v>
      </c>
      <c r="AA98" s="68">
        <v>0</v>
      </c>
      <c r="AB98" s="68">
        <v>776.7</v>
      </c>
      <c r="AC98" s="68">
        <v>0</v>
      </c>
      <c r="AD98" s="68">
        <v>0</v>
      </c>
      <c r="AE98" s="68">
        <v>0</v>
      </c>
      <c r="AF98" s="68">
        <v>1950</v>
      </c>
      <c r="AG98" s="68">
        <v>0</v>
      </c>
      <c r="AH98" s="68">
        <v>0</v>
      </c>
      <c r="AI98" s="68">
        <v>0</v>
      </c>
      <c r="AJ98" s="68">
        <v>0</v>
      </c>
      <c r="AK98" s="68">
        <v>41016.18</v>
      </c>
      <c r="AL98" s="68">
        <v>46841.42</v>
      </c>
      <c r="AM98" s="68">
        <v>0</v>
      </c>
      <c r="AN98" s="68">
        <v>0</v>
      </c>
      <c r="AO98" s="68">
        <v>0</v>
      </c>
      <c r="AP98" s="68">
        <v>0</v>
      </c>
      <c r="AQ98" s="68">
        <v>0</v>
      </c>
      <c r="AR98" s="68">
        <v>0</v>
      </c>
      <c r="AS98" s="68">
        <v>0</v>
      </c>
      <c r="AT98" s="68">
        <v>45992</v>
      </c>
      <c r="AU98" s="68">
        <v>73333.33</v>
      </c>
      <c r="AV98" s="68">
        <v>72981.67</v>
      </c>
      <c r="AW98" s="68">
        <v>55000</v>
      </c>
      <c r="AX98" s="68">
        <v>99718.06</v>
      </c>
      <c r="AY98" s="68">
        <v>24139.33</v>
      </c>
      <c r="AZ98" s="68">
        <v>17381.47</v>
      </c>
      <c r="BA98" s="68">
        <v>5000</v>
      </c>
      <c r="BB98" s="68">
        <v>93250</v>
      </c>
      <c r="BC98" s="68">
        <v>102274.87</v>
      </c>
      <c r="BD98" s="68">
        <v>143333.33</v>
      </c>
      <c r="BE98" s="68">
        <v>76378.05</v>
      </c>
      <c r="BF98" s="68">
        <v>136388.3</v>
      </c>
      <c r="BG98" s="68">
        <v>14953.16</v>
      </c>
      <c r="BH98" s="68">
        <v>56146.28</v>
      </c>
      <c r="BI98" s="68">
        <v>11025</v>
      </c>
      <c r="BJ98" s="68">
        <v>15392</v>
      </c>
      <c r="BK98" s="68">
        <v>20676.06</v>
      </c>
      <c r="BL98" s="68">
        <v>18154.33</v>
      </c>
      <c r="BM98" s="68">
        <v>19360</v>
      </c>
      <c r="BN98" s="68">
        <v>20858.33</v>
      </c>
      <c r="BO98" s="68">
        <v>0</v>
      </c>
      <c r="BP98" s="68">
        <v>28310.57</v>
      </c>
      <c r="BQ98" s="68">
        <v>4624.25</v>
      </c>
      <c r="BR98" s="68">
        <v>10017</v>
      </c>
      <c r="BS98" s="68">
        <v>3988.1</v>
      </c>
      <c r="BT98" s="68">
        <v>9166.67</v>
      </c>
      <c r="BU98" s="68">
        <v>15268.5</v>
      </c>
      <c r="BV98" s="68">
        <v>10852.78</v>
      </c>
      <c r="BW98" s="68">
        <v>42008</v>
      </c>
      <c r="BX98" s="68">
        <v>7017.92</v>
      </c>
      <c r="BY98" s="68">
        <v>23525.77</v>
      </c>
      <c r="BZ98" s="68">
        <v>3177.29</v>
      </c>
      <c r="CA98" s="68">
        <v>2916.67</v>
      </c>
      <c r="CB98" s="68">
        <v>11812.18</v>
      </c>
      <c r="CC98" s="68">
        <v>94466.55</v>
      </c>
      <c r="CD98" s="68">
        <v>20508.09</v>
      </c>
      <c r="CE98" s="68">
        <v>12600</v>
      </c>
      <c r="CF98" s="68">
        <v>34116.09</v>
      </c>
      <c r="CG98" s="68">
        <v>69090.15</v>
      </c>
      <c r="CH98" s="68">
        <v>10185</v>
      </c>
      <c r="CI98" s="68">
        <v>8648.58</v>
      </c>
      <c r="CJ98" s="68">
        <v>16485.6</v>
      </c>
      <c r="CK98" s="68">
        <v>10000</v>
      </c>
      <c r="CL98" s="68">
        <v>8899.02</v>
      </c>
      <c r="CM98" s="68">
        <v>9276.93</v>
      </c>
      <c r="CN98" s="68">
        <v>14282.22</v>
      </c>
      <c r="CO98" s="68">
        <v>12932.25</v>
      </c>
      <c r="CP98" s="68">
        <v>11402.47</v>
      </c>
      <c r="CQ98" s="68">
        <v>10447.63</v>
      </c>
      <c r="CR98" s="68">
        <v>8260.92</v>
      </c>
      <c r="CS98" s="68">
        <v>10000</v>
      </c>
      <c r="CT98" s="68">
        <v>7594.96</v>
      </c>
      <c r="CU98" s="68">
        <v>7791.3</v>
      </c>
      <c r="CV98" s="68">
        <v>12544</v>
      </c>
      <c r="CW98" s="68">
        <v>14566.28</v>
      </c>
      <c r="CX98" s="68">
        <v>5250</v>
      </c>
      <c r="CY98" s="68">
        <v>11736.51</v>
      </c>
      <c r="CZ98" s="68">
        <v>9008.3</v>
      </c>
      <c r="DA98" s="68">
        <v>37301.59</v>
      </c>
      <c r="DB98" s="68">
        <v>173713.06</v>
      </c>
      <c r="DC98" s="77">
        <v>13441.67</v>
      </c>
    </row>
    <row r="99" spans="1:107">
      <c r="A99" s="57" t="s">
        <v>136</v>
      </c>
      <c r="B99" s="68">
        <v>1394231.35</v>
      </c>
      <c r="C99" s="68">
        <v>231640.55</v>
      </c>
      <c r="D99" s="68">
        <v>0</v>
      </c>
      <c r="E99" s="68">
        <v>66964.47</v>
      </c>
      <c r="F99" s="68">
        <v>23668.81</v>
      </c>
      <c r="G99" s="68">
        <v>0</v>
      </c>
      <c r="H99" s="68">
        <v>1071957.52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  <c r="S99" s="68">
        <v>0</v>
      </c>
      <c r="T99" s="68">
        <v>0</v>
      </c>
      <c r="U99" s="68">
        <v>0</v>
      </c>
      <c r="V99" s="68">
        <v>0</v>
      </c>
      <c r="W99" s="68">
        <v>0</v>
      </c>
      <c r="X99" s="68">
        <v>66964.47</v>
      </c>
      <c r="Y99" s="68">
        <v>0</v>
      </c>
      <c r="Z99" s="68">
        <v>0</v>
      </c>
      <c r="AA99" s="68">
        <v>0</v>
      </c>
      <c r="AB99" s="68">
        <v>0</v>
      </c>
      <c r="AC99" s="68">
        <v>0</v>
      </c>
      <c r="AD99" s="68">
        <v>0</v>
      </c>
      <c r="AE99" s="68">
        <v>0</v>
      </c>
      <c r="AF99" s="68">
        <v>0</v>
      </c>
      <c r="AG99" s="68">
        <v>0</v>
      </c>
      <c r="AH99" s="68">
        <v>0</v>
      </c>
      <c r="AI99" s="68">
        <v>0</v>
      </c>
      <c r="AJ99" s="68">
        <v>0</v>
      </c>
      <c r="AK99" s="68">
        <v>10974.65</v>
      </c>
      <c r="AL99" s="68">
        <v>12217.58</v>
      </c>
      <c r="AM99" s="68">
        <v>476.58</v>
      </c>
      <c r="AN99" s="68">
        <v>0</v>
      </c>
      <c r="AO99" s="68">
        <v>0</v>
      </c>
      <c r="AP99" s="68">
        <v>0</v>
      </c>
      <c r="AQ99" s="68">
        <v>0</v>
      </c>
      <c r="AR99" s="68">
        <v>0</v>
      </c>
      <c r="AS99" s="68">
        <v>0</v>
      </c>
      <c r="AT99" s="68">
        <v>12322.42</v>
      </c>
      <c r="AU99" s="68">
        <v>8291.25</v>
      </c>
      <c r="AV99" s="68">
        <v>8865.02</v>
      </c>
      <c r="AW99" s="68">
        <v>8364.35</v>
      </c>
      <c r="AX99" s="68">
        <v>6677.75</v>
      </c>
      <c r="AY99" s="68">
        <v>26370.16</v>
      </c>
      <c r="AZ99" s="68">
        <v>4916.5</v>
      </c>
      <c r="BA99" s="68">
        <v>6633.95</v>
      </c>
      <c r="BB99" s="68">
        <v>5763.27</v>
      </c>
      <c r="BC99" s="68">
        <v>4540.83</v>
      </c>
      <c r="BD99" s="68">
        <v>7520.24</v>
      </c>
      <c r="BE99" s="68">
        <v>4644.52</v>
      </c>
      <c r="BF99" s="68">
        <v>5512.72</v>
      </c>
      <c r="BG99" s="68">
        <v>10137.61</v>
      </c>
      <c r="BH99" s="68">
        <v>4102.15</v>
      </c>
      <c r="BI99" s="68">
        <v>4764.01</v>
      </c>
      <c r="BJ99" s="68">
        <v>3576.71</v>
      </c>
      <c r="BK99" s="68">
        <v>2593.89</v>
      </c>
      <c r="BL99" s="68">
        <v>5584.5</v>
      </c>
      <c r="BM99" s="68">
        <v>3873.08</v>
      </c>
      <c r="BN99" s="68">
        <v>4463.88</v>
      </c>
      <c r="BO99" s="68">
        <v>2412.06</v>
      </c>
      <c r="BP99" s="68">
        <v>2785.34</v>
      </c>
      <c r="BQ99" s="68">
        <v>1702.59</v>
      </c>
      <c r="BR99" s="68">
        <v>3546.91</v>
      </c>
      <c r="BS99" s="68">
        <v>1403.18</v>
      </c>
      <c r="BT99" s="68">
        <v>2703.9</v>
      </c>
      <c r="BU99" s="68">
        <v>7514.98</v>
      </c>
      <c r="BV99" s="68">
        <v>2021.75</v>
      </c>
      <c r="BW99" s="68">
        <v>2836.24</v>
      </c>
      <c r="BX99" s="68">
        <v>615.03</v>
      </c>
      <c r="BY99" s="68">
        <v>4089.63</v>
      </c>
      <c r="BZ99" s="68">
        <v>426.7</v>
      </c>
      <c r="CA99" s="68">
        <v>719.35</v>
      </c>
      <c r="CB99" s="68">
        <v>2513.45</v>
      </c>
      <c r="CC99" s="68">
        <v>13339.53</v>
      </c>
      <c r="CD99" s="68">
        <v>9727.52</v>
      </c>
      <c r="CE99" s="68">
        <v>469.67</v>
      </c>
      <c r="CF99" s="68">
        <v>0</v>
      </c>
      <c r="CG99" s="68">
        <v>291.33</v>
      </c>
      <c r="CH99" s="68">
        <v>1058.18</v>
      </c>
      <c r="CI99" s="68">
        <v>183.66</v>
      </c>
      <c r="CJ99" s="68">
        <v>695.92</v>
      </c>
      <c r="CK99" s="68">
        <v>1143.24</v>
      </c>
      <c r="CL99" s="68">
        <v>1072.83</v>
      </c>
      <c r="CM99" s="68">
        <v>1352.7</v>
      </c>
      <c r="CN99" s="68">
        <v>2800.28</v>
      </c>
      <c r="CO99" s="68">
        <v>801.44</v>
      </c>
      <c r="CP99" s="68">
        <v>1610.32</v>
      </c>
      <c r="CQ99" s="68">
        <v>1040.83</v>
      </c>
      <c r="CR99" s="68">
        <v>695.25</v>
      </c>
      <c r="CS99" s="68">
        <v>1054.36</v>
      </c>
      <c r="CT99" s="68">
        <v>808.53</v>
      </c>
      <c r="CU99" s="68">
        <v>1397.12</v>
      </c>
      <c r="CV99" s="68">
        <v>493.53</v>
      </c>
      <c r="CW99" s="68">
        <v>283.06</v>
      </c>
      <c r="CX99" s="68">
        <v>1418.96</v>
      </c>
      <c r="CY99" s="68">
        <v>463.81</v>
      </c>
      <c r="CZ99" s="68">
        <v>68.09</v>
      </c>
      <c r="DA99" s="68">
        <v>634.78</v>
      </c>
      <c r="DB99" s="68">
        <v>3925.69</v>
      </c>
      <c r="DC99" s="77">
        <v>0</v>
      </c>
    </row>
    <row r="100" spans="1:107">
      <c r="A100" s="57" t="s">
        <v>137</v>
      </c>
      <c r="B100" s="68">
        <v>52635.56</v>
      </c>
      <c r="C100" s="68">
        <v>8055.56</v>
      </c>
      <c r="D100" s="68">
        <v>0</v>
      </c>
      <c r="E100" s="68">
        <v>0</v>
      </c>
      <c r="F100" s="68">
        <v>44580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  <c r="S100" s="68">
        <v>0</v>
      </c>
      <c r="T100" s="68">
        <v>0</v>
      </c>
      <c r="U100" s="68">
        <v>0</v>
      </c>
      <c r="V100" s="68">
        <v>0</v>
      </c>
      <c r="W100" s="68">
        <v>0</v>
      </c>
      <c r="X100" s="68">
        <v>0</v>
      </c>
      <c r="Y100" s="68">
        <v>0</v>
      </c>
      <c r="Z100" s="68">
        <v>0</v>
      </c>
      <c r="AA100" s="68">
        <v>0</v>
      </c>
      <c r="AB100" s="68">
        <v>0</v>
      </c>
      <c r="AC100" s="68">
        <v>0</v>
      </c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44580</v>
      </c>
      <c r="AL100" s="68">
        <v>0</v>
      </c>
      <c r="AM100" s="68">
        <v>0</v>
      </c>
      <c r="AN100" s="68">
        <v>0</v>
      </c>
      <c r="AO100" s="68">
        <v>0</v>
      </c>
      <c r="AP100" s="68">
        <v>1666.67</v>
      </c>
      <c r="AQ100" s="68">
        <v>0</v>
      </c>
      <c r="AR100" s="68">
        <v>0</v>
      </c>
      <c r="AS100" s="68">
        <v>0</v>
      </c>
      <c r="AT100" s="68">
        <v>0</v>
      </c>
      <c r="AU100" s="68">
        <v>0</v>
      </c>
      <c r="AV100" s="68">
        <v>0</v>
      </c>
      <c r="AW100" s="68">
        <v>0</v>
      </c>
      <c r="AX100" s="68">
        <v>0</v>
      </c>
      <c r="AY100" s="68">
        <v>0</v>
      </c>
      <c r="AZ100" s="68">
        <v>0</v>
      </c>
      <c r="BA100" s="68">
        <v>0</v>
      </c>
      <c r="BB100" s="68">
        <v>0</v>
      </c>
      <c r="BC100" s="68">
        <v>0</v>
      </c>
      <c r="BD100" s="68">
        <v>0</v>
      </c>
      <c r="BE100" s="68">
        <v>0</v>
      </c>
      <c r="BF100" s="68">
        <v>0</v>
      </c>
      <c r="BG100" s="68">
        <v>1388.89</v>
      </c>
      <c r="BH100" s="68">
        <v>0</v>
      </c>
      <c r="BI100" s="68">
        <v>0</v>
      </c>
      <c r="BJ100" s="68">
        <v>0</v>
      </c>
      <c r="BK100" s="68">
        <v>0</v>
      </c>
      <c r="BL100" s="68">
        <v>0</v>
      </c>
      <c r="BM100" s="68">
        <v>0</v>
      </c>
      <c r="BN100" s="68">
        <v>0</v>
      </c>
      <c r="BO100" s="68">
        <v>0</v>
      </c>
      <c r="BP100" s="68">
        <v>0</v>
      </c>
      <c r="BQ100" s="68">
        <v>0</v>
      </c>
      <c r="BR100" s="68">
        <v>0</v>
      </c>
      <c r="BS100" s="68">
        <v>0</v>
      </c>
      <c r="BT100" s="68">
        <v>0</v>
      </c>
      <c r="BU100" s="68">
        <v>0</v>
      </c>
      <c r="BV100" s="68">
        <v>0</v>
      </c>
      <c r="BW100" s="68">
        <v>5000</v>
      </c>
      <c r="BX100" s="68">
        <v>0</v>
      </c>
      <c r="BY100" s="68">
        <v>0</v>
      </c>
      <c r="BZ100" s="68">
        <v>0</v>
      </c>
      <c r="CA100" s="68">
        <v>0</v>
      </c>
      <c r="CB100" s="68">
        <v>0</v>
      </c>
      <c r="CC100" s="68">
        <v>0</v>
      </c>
      <c r="CD100" s="68">
        <v>0</v>
      </c>
      <c r="CE100" s="68">
        <v>0</v>
      </c>
      <c r="CF100" s="68">
        <v>0</v>
      </c>
      <c r="CG100" s="68">
        <v>0</v>
      </c>
      <c r="CH100" s="68">
        <v>0</v>
      </c>
      <c r="CI100" s="68">
        <v>0</v>
      </c>
      <c r="CJ100" s="68">
        <v>0</v>
      </c>
      <c r="CK100" s="68">
        <v>0</v>
      </c>
      <c r="CL100" s="68">
        <v>0</v>
      </c>
      <c r="CM100" s="68">
        <v>0</v>
      </c>
      <c r="CN100" s="68">
        <v>0</v>
      </c>
      <c r="CO100" s="68">
        <v>0</v>
      </c>
      <c r="CP100" s="68">
        <v>0</v>
      </c>
      <c r="CQ100" s="68">
        <v>0</v>
      </c>
      <c r="CR100" s="68">
        <v>0</v>
      </c>
      <c r="CS100" s="68">
        <v>0</v>
      </c>
      <c r="CT100" s="68">
        <v>0</v>
      </c>
      <c r="CU100" s="68">
        <v>0</v>
      </c>
      <c r="CV100" s="68">
        <v>0</v>
      </c>
      <c r="CW100" s="68">
        <v>0</v>
      </c>
      <c r="CX100" s="68">
        <v>0</v>
      </c>
      <c r="CY100" s="68">
        <v>0</v>
      </c>
      <c r="CZ100" s="68">
        <v>0</v>
      </c>
      <c r="DA100" s="68">
        <v>0</v>
      </c>
      <c r="DB100" s="68">
        <v>0</v>
      </c>
      <c r="DC100" s="77">
        <v>0</v>
      </c>
    </row>
    <row r="101" spans="1:107">
      <c r="A101" s="57" t="s">
        <v>138</v>
      </c>
      <c r="B101" s="68">
        <v>1031982.95</v>
      </c>
      <c r="C101" s="68">
        <v>386027.18</v>
      </c>
      <c r="D101" s="68">
        <v>34372.2</v>
      </c>
      <c r="E101" s="68">
        <v>16790.62</v>
      </c>
      <c r="F101" s="68">
        <v>17497.14</v>
      </c>
      <c r="G101" s="68">
        <v>0</v>
      </c>
      <c r="H101" s="68">
        <v>573216.75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  <c r="S101" s="68">
        <v>0</v>
      </c>
      <c r="T101" s="68">
        <v>0</v>
      </c>
      <c r="U101" s="68">
        <v>0</v>
      </c>
      <c r="V101" s="68">
        <v>0</v>
      </c>
      <c r="W101" s="68">
        <v>0</v>
      </c>
      <c r="X101" s="68">
        <v>3183.1</v>
      </c>
      <c r="Y101" s="68">
        <v>0</v>
      </c>
      <c r="Z101" s="68">
        <v>3710.38</v>
      </c>
      <c r="AA101" s="68">
        <v>0</v>
      </c>
      <c r="AB101" s="68">
        <v>3349.71</v>
      </c>
      <c r="AC101" s="68">
        <v>3283.04</v>
      </c>
      <c r="AD101" s="68">
        <v>3264.39</v>
      </c>
      <c r="AE101" s="68">
        <v>0</v>
      </c>
      <c r="AF101" s="68">
        <v>10934.67</v>
      </c>
      <c r="AG101" s="68">
        <v>11091.35</v>
      </c>
      <c r="AH101" s="68">
        <v>12346.18</v>
      </c>
      <c r="AI101" s="68">
        <v>0</v>
      </c>
      <c r="AJ101" s="68">
        <v>4079.06</v>
      </c>
      <c r="AK101" s="68">
        <v>9138.01</v>
      </c>
      <c r="AL101" s="68">
        <v>8359.13</v>
      </c>
      <c r="AM101" s="68">
        <v>0</v>
      </c>
      <c r="AN101" s="68">
        <v>0</v>
      </c>
      <c r="AO101" s="68">
        <v>708.42</v>
      </c>
      <c r="AP101" s="68">
        <v>0</v>
      </c>
      <c r="AQ101" s="68">
        <v>0</v>
      </c>
      <c r="AR101" s="68">
        <v>0</v>
      </c>
      <c r="AS101" s="68">
        <v>0</v>
      </c>
      <c r="AT101" s="68">
        <v>3334.78</v>
      </c>
      <c r="AU101" s="68">
        <v>11280.17</v>
      </c>
      <c r="AV101" s="68">
        <v>36177.17</v>
      </c>
      <c r="AW101" s="68">
        <v>3195.92</v>
      </c>
      <c r="AX101" s="68">
        <v>19548.23</v>
      </c>
      <c r="AY101" s="68">
        <v>35986.05</v>
      </c>
      <c r="AZ101" s="68">
        <v>13697.39</v>
      </c>
      <c r="BA101" s="68">
        <v>0</v>
      </c>
      <c r="BB101" s="68">
        <v>12684.77</v>
      </c>
      <c r="BC101" s="68">
        <v>13187.73</v>
      </c>
      <c r="BD101" s="68">
        <v>0</v>
      </c>
      <c r="BE101" s="68">
        <v>0</v>
      </c>
      <c r="BF101" s="68">
        <v>0</v>
      </c>
      <c r="BG101" s="68">
        <v>8173.75</v>
      </c>
      <c r="BH101" s="68">
        <v>0</v>
      </c>
      <c r="BI101" s="68">
        <v>74659.81</v>
      </c>
      <c r="BJ101" s="68">
        <v>0</v>
      </c>
      <c r="BK101" s="68">
        <v>1538.35</v>
      </c>
      <c r="BL101" s="68">
        <v>6433.42</v>
      </c>
      <c r="BM101" s="68">
        <v>4938.56</v>
      </c>
      <c r="BN101" s="68">
        <v>9575.14</v>
      </c>
      <c r="BO101" s="68">
        <v>8950.39</v>
      </c>
      <c r="BP101" s="68">
        <v>8758.04</v>
      </c>
      <c r="BQ101" s="68">
        <v>3092.32</v>
      </c>
      <c r="BR101" s="68">
        <v>8037.03</v>
      </c>
      <c r="BS101" s="68">
        <v>0</v>
      </c>
      <c r="BT101" s="68">
        <v>5048.27</v>
      </c>
      <c r="BU101" s="68">
        <v>7224.22</v>
      </c>
      <c r="BV101" s="68">
        <v>7427.37</v>
      </c>
      <c r="BW101" s="68">
        <v>13688.87</v>
      </c>
      <c r="BX101" s="68">
        <v>3191.18</v>
      </c>
      <c r="BY101" s="68">
        <v>802.78</v>
      </c>
      <c r="BZ101" s="68">
        <v>2677.5</v>
      </c>
      <c r="CA101" s="68">
        <v>1247.41</v>
      </c>
      <c r="CB101" s="68">
        <v>3969.25</v>
      </c>
      <c r="CC101" s="68">
        <v>23692.53</v>
      </c>
      <c r="CD101" s="68">
        <v>4179.57</v>
      </c>
      <c r="CE101" s="68">
        <v>0</v>
      </c>
      <c r="CF101" s="68">
        <v>2380.71</v>
      </c>
      <c r="CG101" s="68">
        <v>0</v>
      </c>
      <c r="CH101" s="68">
        <v>866.67</v>
      </c>
      <c r="CI101" s="68">
        <v>1180.35</v>
      </c>
      <c r="CJ101" s="68">
        <v>1436.11</v>
      </c>
      <c r="CK101" s="68">
        <v>0</v>
      </c>
      <c r="CL101" s="68">
        <v>3542.69</v>
      </c>
      <c r="CM101" s="68">
        <v>1356.39</v>
      </c>
      <c r="CN101" s="68">
        <v>1130.43</v>
      </c>
      <c r="CO101" s="68">
        <v>1025.97</v>
      </c>
      <c r="CP101" s="68">
        <v>1581.51</v>
      </c>
      <c r="CQ101" s="68">
        <v>0</v>
      </c>
      <c r="CR101" s="68">
        <v>2426.26</v>
      </c>
      <c r="CS101" s="68">
        <v>3076.21</v>
      </c>
      <c r="CT101" s="68">
        <v>1840.4</v>
      </c>
      <c r="CU101" s="68">
        <v>874.48</v>
      </c>
      <c r="CV101" s="68">
        <v>0</v>
      </c>
      <c r="CW101" s="68">
        <v>0</v>
      </c>
      <c r="CX101" s="68">
        <v>4658.17</v>
      </c>
      <c r="CY101" s="68">
        <v>0</v>
      </c>
      <c r="CZ101" s="68">
        <v>0</v>
      </c>
      <c r="DA101" s="68">
        <v>0</v>
      </c>
      <c r="DB101" s="68">
        <v>1544.44</v>
      </c>
      <c r="DC101" s="77">
        <v>0</v>
      </c>
    </row>
    <row r="102" spans="1:107">
      <c r="A102" s="57" t="s">
        <v>139</v>
      </c>
      <c r="B102" s="68">
        <v>37668.09</v>
      </c>
      <c r="C102" s="68">
        <v>3253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  <c r="S102" s="68">
        <v>0</v>
      </c>
      <c r="T102" s="68">
        <v>0</v>
      </c>
      <c r="U102" s="68">
        <v>33215.09</v>
      </c>
      <c r="V102" s="68">
        <v>0</v>
      </c>
      <c r="W102" s="68">
        <v>0</v>
      </c>
      <c r="X102" s="68">
        <v>0</v>
      </c>
      <c r="Y102" s="68">
        <v>0</v>
      </c>
      <c r="Z102" s="68">
        <v>0</v>
      </c>
      <c r="AA102" s="68">
        <v>0</v>
      </c>
      <c r="AB102" s="68">
        <v>0</v>
      </c>
      <c r="AC102" s="68">
        <v>0</v>
      </c>
      <c r="AD102" s="68">
        <v>0</v>
      </c>
      <c r="AE102" s="68">
        <v>0</v>
      </c>
      <c r="AF102" s="68">
        <v>0</v>
      </c>
      <c r="AG102" s="68">
        <v>0</v>
      </c>
      <c r="AH102" s="68">
        <v>0</v>
      </c>
      <c r="AI102" s="68">
        <v>0</v>
      </c>
      <c r="AJ102" s="68">
        <v>1200</v>
      </c>
      <c r="AK102" s="68">
        <v>0</v>
      </c>
      <c r="AL102" s="68">
        <v>0</v>
      </c>
      <c r="AM102" s="68">
        <v>0</v>
      </c>
      <c r="AN102" s="68">
        <v>0</v>
      </c>
      <c r="AO102" s="68">
        <v>0</v>
      </c>
      <c r="AP102" s="68">
        <v>0</v>
      </c>
      <c r="AQ102" s="68">
        <v>0</v>
      </c>
      <c r="AR102" s="68">
        <v>0</v>
      </c>
      <c r="AS102" s="68">
        <v>0</v>
      </c>
      <c r="AT102" s="68">
        <v>0</v>
      </c>
      <c r="AU102" s="68">
        <v>0</v>
      </c>
      <c r="AV102" s="68">
        <v>0</v>
      </c>
      <c r="AW102" s="68">
        <v>0</v>
      </c>
      <c r="AX102" s="68">
        <v>0</v>
      </c>
      <c r="AY102" s="68">
        <v>0</v>
      </c>
      <c r="AZ102" s="68">
        <v>0</v>
      </c>
      <c r="BA102" s="68">
        <v>0</v>
      </c>
      <c r="BB102" s="68">
        <v>0</v>
      </c>
      <c r="BC102" s="68">
        <v>0</v>
      </c>
      <c r="BD102" s="68">
        <v>0</v>
      </c>
      <c r="BE102" s="68">
        <v>0</v>
      </c>
      <c r="BF102" s="68">
        <v>0</v>
      </c>
      <c r="BG102" s="68">
        <v>3253</v>
      </c>
      <c r="BH102" s="68">
        <v>0</v>
      </c>
      <c r="BI102" s="68">
        <v>0</v>
      </c>
      <c r="BJ102" s="68">
        <v>0</v>
      </c>
      <c r="BK102" s="68">
        <v>0</v>
      </c>
      <c r="BL102" s="68">
        <v>0</v>
      </c>
      <c r="BM102" s="68">
        <v>0</v>
      </c>
      <c r="BN102" s="68">
        <v>0</v>
      </c>
      <c r="BO102" s="68">
        <v>0</v>
      </c>
      <c r="BP102" s="68">
        <v>0</v>
      </c>
      <c r="BQ102" s="68">
        <v>0</v>
      </c>
      <c r="BR102" s="68">
        <v>0</v>
      </c>
      <c r="BS102" s="68">
        <v>0</v>
      </c>
      <c r="BT102" s="68">
        <v>0</v>
      </c>
      <c r="BU102" s="68">
        <v>0</v>
      </c>
      <c r="BV102" s="68">
        <v>0</v>
      </c>
      <c r="BW102" s="68">
        <v>0</v>
      </c>
      <c r="BX102" s="68">
        <v>0</v>
      </c>
      <c r="BY102" s="68">
        <v>0</v>
      </c>
      <c r="BZ102" s="68">
        <v>0</v>
      </c>
      <c r="CA102" s="68">
        <v>0</v>
      </c>
      <c r="CB102" s="68">
        <v>0</v>
      </c>
      <c r="CC102" s="68">
        <v>0</v>
      </c>
      <c r="CD102" s="68">
        <v>0</v>
      </c>
      <c r="CE102" s="68">
        <v>0</v>
      </c>
      <c r="CF102" s="68">
        <v>0</v>
      </c>
      <c r="CG102" s="68">
        <v>0</v>
      </c>
      <c r="CH102" s="68">
        <v>0</v>
      </c>
      <c r="CI102" s="68">
        <v>0</v>
      </c>
      <c r="CJ102" s="68">
        <v>0</v>
      </c>
      <c r="CK102" s="68">
        <v>0</v>
      </c>
      <c r="CL102" s="68">
        <v>0</v>
      </c>
      <c r="CM102" s="68">
        <v>0</v>
      </c>
      <c r="CN102" s="68">
        <v>0</v>
      </c>
      <c r="CO102" s="68">
        <v>0</v>
      </c>
      <c r="CP102" s="68">
        <v>0</v>
      </c>
      <c r="CQ102" s="68">
        <v>0</v>
      </c>
      <c r="CR102" s="68">
        <v>0</v>
      </c>
      <c r="CS102" s="68">
        <v>0</v>
      </c>
      <c r="CT102" s="68">
        <v>0</v>
      </c>
      <c r="CU102" s="68">
        <v>0</v>
      </c>
      <c r="CV102" s="68">
        <v>0</v>
      </c>
      <c r="CW102" s="68">
        <v>0</v>
      </c>
      <c r="CX102" s="68">
        <v>0</v>
      </c>
      <c r="CY102" s="68">
        <v>0</v>
      </c>
      <c r="CZ102" s="68">
        <v>0</v>
      </c>
      <c r="DA102" s="68">
        <v>0</v>
      </c>
      <c r="DB102" s="68">
        <v>0</v>
      </c>
      <c r="DC102" s="77">
        <v>0</v>
      </c>
    </row>
    <row r="103" s="61" customFormat="1" spans="1:107">
      <c r="A103" s="69" t="s">
        <v>102</v>
      </c>
      <c r="B103" s="70">
        <v>6380405.76</v>
      </c>
      <c r="C103" s="70">
        <v>3467654.3</v>
      </c>
      <c r="D103" s="70">
        <v>46206.77</v>
      </c>
      <c r="E103" s="70">
        <v>144796.95</v>
      </c>
      <c r="F103" s="70">
        <v>196812.59</v>
      </c>
      <c r="G103" s="70">
        <v>1420.07</v>
      </c>
      <c r="H103" s="70">
        <v>2618391.27</v>
      </c>
      <c r="I103" s="70">
        <v>170.75</v>
      </c>
      <c r="J103" s="70">
        <v>-547248.77</v>
      </c>
      <c r="K103" s="70">
        <v>2228.3</v>
      </c>
      <c r="L103" s="70">
        <v>230.19</v>
      </c>
      <c r="M103" s="70">
        <v>658.49</v>
      </c>
      <c r="N103" s="70">
        <v>0</v>
      </c>
      <c r="O103" s="70">
        <v>137.74</v>
      </c>
      <c r="P103" s="70">
        <v>42.45</v>
      </c>
      <c r="Q103" s="70">
        <v>0</v>
      </c>
      <c r="R103" s="70">
        <v>1232.08</v>
      </c>
      <c r="S103" s="70">
        <v>1262.73</v>
      </c>
      <c r="T103" s="70">
        <v>84.91</v>
      </c>
      <c r="U103" s="70">
        <v>438463.88</v>
      </c>
      <c r="V103" s="70">
        <v>0</v>
      </c>
      <c r="W103" s="70">
        <v>0</v>
      </c>
      <c r="X103" s="70">
        <v>101037.68</v>
      </c>
      <c r="Y103" s="70">
        <v>0</v>
      </c>
      <c r="Z103" s="70">
        <v>13379.6</v>
      </c>
      <c r="AA103" s="70">
        <v>0</v>
      </c>
      <c r="AB103" s="70">
        <v>9226.29</v>
      </c>
      <c r="AC103" s="70">
        <v>11303.67</v>
      </c>
      <c r="AD103" s="70">
        <v>9828.96</v>
      </c>
      <c r="AE103" s="70">
        <v>20.75</v>
      </c>
      <c r="AF103" s="70">
        <v>16339.01</v>
      </c>
      <c r="AG103" s="70">
        <v>13829.25</v>
      </c>
      <c r="AH103" s="70">
        <v>13075.43</v>
      </c>
      <c r="AI103" s="70">
        <v>2963.08</v>
      </c>
      <c r="AJ103" s="70">
        <v>7861.06</v>
      </c>
      <c r="AK103" s="70">
        <v>115917.33</v>
      </c>
      <c r="AL103" s="70">
        <v>79323.52</v>
      </c>
      <c r="AM103" s="70">
        <v>1571.74</v>
      </c>
      <c r="AN103" s="70">
        <v>0</v>
      </c>
      <c r="AO103" s="70">
        <v>730.12</v>
      </c>
      <c r="AP103" s="70">
        <v>2503.46</v>
      </c>
      <c r="AQ103" s="70">
        <v>3949.5</v>
      </c>
      <c r="AR103" s="70">
        <v>2304.73</v>
      </c>
      <c r="AS103" s="70">
        <v>569.81</v>
      </c>
      <c r="AT103" s="70">
        <v>121721.17</v>
      </c>
      <c r="AU103" s="70">
        <v>124469.88</v>
      </c>
      <c r="AV103" s="70">
        <v>134111.65</v>
      </c>
      <c r="AW103" s="70">
        <v>115389.8</v>
      </c>
      <c r="AX103" s="70">
        <v>207698.34</v>
      </c>
      <c r="AY103" s="70">
        <v>123614.56</v>
      </c>
      <c r="AZ103" s="70">
        <v>58952.68</v>
      </c>
      <c r="BA103" s="70">
        <v>32304.26</v>
      </c>
      <c r="BB103" s="70">
        <v>137244.47</v>
      </c>
      <c r="BC103" s="70">
        <v>156363.58</v>
      </c>
      <c r="BD103" s="70">
        <v>193946.61</v>
      </c>
      <c r="BE103" s="70">
        <v>138674.24</v>
      </c>
      <c r="BF103" s="70">
        <v>215259.38</v>
      </c>
      <c r="BG103" s="70">
        <v>53899.34</v>
      </c>
      <c r="BH103" s="70">
        <v>85747.12</v>
      </c>
      <c r="BI103" s="70">
        <v>94593.82</v>
      </c>
      <c r="BJ103" s="70">
        <v>27848.54</v>
      </c>
      <c r="BK103" s="70">
        <v>73748.9</v>
      </c>
      <c r="BL103" s="70">
        <v>34592.25</v>
      </c>
      <c r="BM103" s="70">
        <v>30512.64</v>
      </c>
      <c r="BN103" s="70">
        <v>48649.36</v>
      </c>
      <c r="BO103" s="70">
        <v>16254.16</v>
      </c>
      <c r="BP103" s="70">
        <v>42528.15</v>
      </c>
      <c r="BQ103" s="70">
        <v>12312.16</v>
      </c>
      <c r="BR103" s="70">
        <v>24268.28</v>
      </c>
      <c r="BS103" s="70">
        <v>11798.28</v>
      </c>
      <c r="BT103" s="70">
        <v>20394.84</v>
      </c>
      <c r="BU103" s="70">
        <v>36138.83</v>
      </c>
      <c r="BV103" s="70">
        <v>28521.9</v>
      </c>
      <c r="BW103" s="70">
        <v>90106.9</v>
      </c>
      <c r="BX103" s="70">
        <v>15093.13</v>
      </c>
      <c r="BY103" s="70">
        <v>50952.18</v>
      </c>
      <c r="BZ103" s="70">
        <v>6744.49</v>
      </c>
      <c r="CA103" s="70">
        <v>5774.43</v>
      </c>
      <c r="CB103" s="70">
        <v>20625.88</v>
      </c>
      <c r="CC103" s="70">
        <v>146347.23</v>
      </c>
      <c r="CD103" s="70">
        <v>61640.63</v>
      </c>
      <c r="CE103" s="70">
        <v>14193.67</v>
      </c>
      <c r="CF103" s="70">
        <v>37012.8</v>
      </c>
      <c r="CG103" s="70">
        <v>70242.57</v>
      </c>
      <c r="CH103" s="70">
        <v>12590.85</v>
      </c>
      <c r="CI103" s="70">
        <v>13313.59</v>
      </c>
      <c r="CJ103" s="70">
        <v>18798.63</v>
      </c>
      <c r="CK103" s="70">
        <v>11279.03</v>
      </c>
      <c r="CL103" s="70">
        <v>13612.54</v>
      </c>
      <c r="CM103" s="70">
        <v>12240.02</v>
      </c>
      <c r="CN103" s="70">
        <v>18466.93</v>
      </c>
      <c r="CO103" s="70">
        <v>15178.5</v>
      </c>
      <c r="CP103" s="70">
        <v>14996.3</v>
      </c>
      <c r="CQ103" s="70">
        <v>12186.76</v>
      </c>
      <c r="CR103" s="70">
        <v>11477.43</v>
      </c>
      <c r="CS103" s="70">
        <v>14525.57</v>
      </c>
      <c r="CT103" s="70">
        <v>10263.89</v>
      </c>
      <c r="CU103" s="70">
        <v>10252.9</v>
      </c>
      <c r="CV103" s="70">
        <v>13052.53</v>
      </c>
      <c r="CW103" s="70">
        <v>15349.34</v>
      </c>
      <c r="CX103" s="70">
        <v>32101.13</v>
      </c>
      <c r="CY103" s="70">
        <v>15656.02</v>
      </c>
      <c r="CZ103" s="70">
        <v>15818.39</v>
      </c>
      <c r="DA103" s="70">
        <v>37936.37</v>
      </c>
      <c r="DB103" s="70">
        <v>182375.81</v>
      </c>
      <c r="DC103" s="75">
        <v>35831.05</v>
      </c>
    </row>
    <row r="104" s="61" customFormat="1" ht="12.75" spans="1:107">
      <c r="A104" s="71" t="s">
        <v>4</v>
      </c>
      <c r="B104" s="72">
        <v>58675776.13</v>
      </c>
      <c r="C104" s="72">
        <v>28111363.54</v>
      </c>
      <c r="D104" s="72">
        <v>10450396.04</v>
      </c>
      <c r="E104" s="72">
        <v>1538465.53</v>
      </c>
      <c r="F104" s="72">
        <v>1400772.61</v>
      </c>
      <c r="G104" s="72">
        <v>1027218.53</v>
      </c>
      <c r="H104" s="72">
        <v>11947219.61</v>
      </c>
      <c r="I104" s="72">
        <v>170461.64</v>
      </c>
      <c r="J104" s="72">
        <v>166706.36</v>
      </c>
      <c r="K104" s="72">
        <v>406779.37</v>
      </c>
      <c r="L104" s="72">
        <v>166290.29</v>
      </c>
      <c r="M104" s="72">
        <v>262678.26</v>
      </c>
      <c r="N104" s="72">
        <v>31376.08</v>
      </c>
      <c r="O104" s="72">
        <v>122663.53</v>
      </c>
      <c r="P104" s="72">
        <v>202060.61</v>
      </c>
      <c r="Q104" s="72">
        <v>191166.56</v>
      </c>
      <c r="R104" s="72">
        <v>224345.01</v>
      </c>
      <c r="S104" s="72">
        <v>502695.07</v>
      </c>
      <c r="T104" s="72">
        <v>377891.14</v>
      </c>
      <c r="U104" s="72">
        <v>1112001.38</v>
      </c>
      <c r="V104" s="72">
        <v>64404.22</v>
      </c>
      <c r="W104" s="72">
        <v>6323.45</v>
      </c>
      <c r="X104" s="72">
        <v>255553.47</v>
      </c>
      <c r="Y104" s="72">
        <v>40534.32</v>
      </c>
      <c r="Z104" s="72">
        <v>773428.69</v>
      </c>
      <c r="AA104" s="72">
        <v>3776.58</v>
      </c>
      <c r="AB104" s="72">
        <v>-354285.23</v>
      </c>
      <c r="AC104" s="72">
        <v>255219.83</v>
      </c>
      <c r="AD104" s="72">
        <v>415059.85</v>
      </c>
      <c r="AE104" s="72">
        <v>149178.02</v>
      </c>
      <c r="AF104" s="72">
        <v>298755.5</v>
      </c>
      <c r="AG104" s="72">
        <v>6490691.38</v>
      </c>
      <c r="AH104" s="72">
        <v>1174097.34</v>
      </c>
      <c r="AI104" s="72">
        <v>2486851.82</v>
      </c>
      <c r="AJ104" s="72">
        <v>182223.34</v>
      </c>
      <c r="AK104" s="72">
        <v>948611.21</v>
      </c>
      <c r="AL104" s="72">
        <v>349907.17</v>
      </c>
      <c r="AM104" s="72">
        <v>102254.23</v>
      </c>
      <c r="AN104" s="72">
        <v>10273.96</v>
      </c>
      <c r="AO104" s="72">
        <v>6097894.26</v>
      </c>
      <c r="AP104" s="72">
        <v>347641.77</v>
      </c>
      <c r="AQ104" s="72">
        <v>223239.21</v>
      </c>
      <c r="AR104" s="72">
        <v>1329841.38</v>
      </c>
      <c r="AS104" s="72">
        <v>284295.46</v>
      </c>
      <c r="AT104" s="72">
        <v>889027.05</v>
      </c>
      <c r="AU104" s="72">
        <v>1068677.33</v>
      </c>
      <c r="AV104" s="72">
        <v>1159660.43</v>
      </c>
      <c r="AW104" s="72">
        <v>820165.2</v>
      </c>
      <c r="AX104" s="72">
        <v>1016115.34</v>
      </c>
      <c r="AY104" s="72">
        <v>898233.7</v>
      </c>
      <c r="AZ104" s="72">
        <v>346109.79</v>
      </c>
      <c r="BA104" s="72">
        <v>944693.34</v>
      </c>
      <c r="BB104" s="72">
        <v>452687.9</v>
      </c>
      <c r="BC104" s="72">
        <v>393315.56</v>
      </c>
      <c r="BD104" s="72">
        <v>1048661.6</v>
      </c>
      <c r="BE104" s="72">
        <v>1099362.45</v>
      </c>
      <c r="BF104" s="72">
        <v>758864.18</v>
      </c>
      <c r="BG104" s="72">
        <v>492263.67</v>
      </c>
      <c r="BH104" s="72">
        <v>374278.67</v>
      </c>
      <c r="BI104" s="72">
        <v>400968.76</v>
      </c>
      <c r="BJ104" s="72">
        <v>404605.87</v>
      </c>
      <c r="BK104" s="72">
        <v>421336.62</v>
      </c>
      <c r="BL104" s="72">
        <v>272208.22</v>
      </c>
      <c r="BM104" s="72">
        <v>236772.41</v>
      </c>
      <c r="BN104" s="72">
        <v>408554.29</v>
      </c>
      <c r="BO104" s="72">
        <v>411668.36</v>
      </c>
      <c r="BP104" s="72">
        <v>186368.58</v>
      </c>
      <c r="BQ104" s="72">
        <v>169147.95</v>
      </c>
      <c r="BR104" s="72">
        <v>90684.24</v>
      </c>
      <c r="BS104" s="72">
        <v>154935.05</v>
      </c>
      <c r="BT104" s="72">
        <v>152088.04</v>
      </c>
      <c r="BU104" s="72">
        <v>278791.43</v>
      </c>
      <c r="BV104" s="72">
        <v>187328.91</v>
      </c>
      <c r="BW104" s="72">
        <v>1070665.89</v>
      </c>
      <c r="BX104" s="72">
        <v>64655.57</v>
      </c>
      <c r="BY104" s="72">
        <v>209518.97</v>
      </c>
      <c r="BZ104" s="72">
        <v>72363</v>
      </c>
      <c r="CA104" s="72">
        <v>80230.31</v>
      </c>
      <c r="CB104" s="72">
        <v>122183.9</v>
      </c>
      <c r="CC104" s="72">
        <v>457376.81</v>
      </c>
      <c r="CD104" s="72">
        <v>583074.57</v>
      </c>
      <c r="CE104" s="72">
        <v>79002.39</v>
      </c>
      <c r="CF104" s="72">
        <v>65963.92</v>
      </c>
      <c r="CG104" s="72">
        <v>118130.92</v>
      </c>
      <c r="CH104" s="72">
        <v>37960.45</v>
      </c>
      <c r="CI104" s="72">
        <v>84719.41</v>
      </c>
      <c r="CJ104" s="72">
        <v>61166.15</v>
      </c>
      <c r="CK104" s="72">
        <v>47488.36</v>
      </c>
      <c r="CL104" s="72">
        <v>36579.11</v>
      </c>
      <c r="CM104" s="72">
        <v>58671.93</v>
      </c>
      <c r="CN104" s="72">
        <v>32365.35</v>
      </c>
      <c r="CO104" s="72">
        <v>30147.14</v>
      </c>
      <c r="CP104" s="72">
        <v>51965.1</v>
      </c>
      <c r="CQ104" s="72">
        <v>65384.84</v>
      </c>
      <c r="CR104" s="72">
        <v>37965.76</v>
      </c>
      <c r="CS104" s="72">
        <v>47348.96</v>
      </c>
      <c r="CT104" s="72">
        <v>37666.44</v>
      </c>
      <c r="CU104" s="72">
        <v>40138.86</v>
      </c>
      <c r="CV104" s="72">
        <v>33097.81</v>
      </c>
      <c r="CW104" s="72">
        <v>49525.62</v>
      </c>
      <c r="CX104" s="72">
        <v>83169.85</v>
      </c>
      <c r="CY104" s="72">
        <v>67581.01</v>
      </c>
      <c r="CZ104" s="72">
        <v>48773.93</v>
      </c>
      <c r="DA104" s="72">
        <v>69030.31</v>
      </c>
      <c r="DB104" s="72">
        <v>205698.72</v>
      </c>
      <c r="DC104" s="76">
        <v>141265.16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F81"/>
  <sheetViews>
    <sheetView workbookViewId="0">
      <pane xSplit="1" ySplit="2" topLeftCell="B31" activePane="bottomRight" state="frozen"/>
      <selection/>
      <selection pane="topRight"/>
      <selection pane="bottomLeft"/>
      <selection pane="bottomRight" activeCell="G56" sqref="G56"/>
    </sheetView>
  </sheetViews>
  <sheetFormatPr defaultColWidth="9" defaultRowHeight="13.5"/>
  <cols>
    <col min="1" max="1" width="23.375" customWidth="1"/>
    <col min="2" max="7" width="9.75" customWidth="1"/>
    <col min="8" max="10" width="16.375" customWidth="1"/>
    <col min="11" max="12" width="9.75" customWidth="1"/>
    <col min="13" max="13" width="16.375" customWidth="1"/>
    <col min="14" max="17" width="9.75" customWidth="1"/>
    <col min="18" max="18" width="14.375" customWidth="1"/>
    <col min="19" max="19" width="11.5" customWidth="1"/>
    <col min="20" max="20" width="11.75" customWidth="1"/>
    <col min="21" max="28" width="9.75" customWidth="1"/>
    <col min="32" max="46" width="9" style="2"/>
  </cols>
  <sheetData>
    <row r="1" ht="14.25" spans="1:1">
      <c r="A1" s="38" t="s">
        <v>73</v>
      </c>
    </row>
    <row r="2" s="2" customFormat="1" spans="1:31">
      <c r="A2" s="26" t="s">
        <v>3</v>
      </c>
      <c r="B2" s="27" t="str">
        <f>累计利润调整表!B3</f>
        <v>合计</v>
      </c>
      <c r="C2" s="27" t="str">
        <f>累计利润调整表!C3</f>
        <v>其他</v>
      </c>
      <c r="D2" s="27" t="str">
        <f>累计利润调整表!D3</f>
        <v>总部中后台</v>
      </c>
      <c r="E2" s="27" t="str">
        <f>累计利润调整表!E3</f>
        <v>经纪业务部</v>
      </c>
      <c r="F2" s="27" t="str">
        <f>累计利润调整表!F3</f>
        <v>资管业务</v>
      </c>
      <c r="G2" s="27" t="str">
        <f>累计利润调整表!G3</f>
        <v>资产管理部</v>
      </c>
      <c r="H2" s="27" t="str">
        <f>累计利润调整表!H3</f>
        <v>权益产品投资部</v>
      </c>
      <c r="I2" s="27" t="str">
        <f>累计利润调整表!I3</f>
        <v>固收产品投资部</v>
      </c>
      <c r="J2" s="27" t="str">
        <f>累计利润调整表!J3</f>
        <v>量化产品投资部</v>
      </c>
      <c r="K2" s="27" t="str">
        <f>累计利润调整表!K3</f>
        <v>深分公司合计</v>
      </c>
      <c r="L2" s="27" t="str">
        <f>累计利润调整表!L3</f>
        <v>固定收益投资部</v>
      </c>
      <c r="M2" s="27" t="str">
        <f>累计利润调整表!M3</f>
        <v>固定收益市场部</v>
      </c>
      <c r="N2" s="27" t="str">
        <f>累计利润调整表!N3</f>
        <v>投顾业务部</v>
      </c>
      <c r="O2" s="27" t="str">
        <f>累计利润调整表!O3</f>
        <v>证券投资部</v>
      </c>
      <c r="P2" s="27" t="str">
        <f>累计利润调整表!P3</f>
        <v>做市业务部</v>
      </c>
      <c r="Q2" s="27" t="str">
        <f>累计利润调整表!Q3</f>
        <v>金融衍生品部</v>
      </c>
      <c r="R2" s="27" t="str">
        <f>累计利润调整表!R3</f>
        <v>深圳管理部</v>
      </c>
      <c r="S2" s="27" t="str">
        <f>累计利润调整表!S3</f>
        <v>投资银行合计</v>
      </c>
      <c r="T2" s="27" t="str">
        <f>累计利润调整表!T3</f>
        <v>投资银行三部</v>
      </c>
      <c r="U2" s="27" t="str">
        <f>累计利润调整表!U3</f>
        <v>投资银行一部</v>
      </c>
      <c r="V2" s="27" t="str">
        <f>累计利润调整表!V3</f>
        <v>投资银行二部</v>
      </c>
      <c r="W2" s="27" t="str">
        <f>累计利润调整表!W3</f>
        <v>投资银行四部</v>
      </c>
      <c r="X2" s="27" t="str">
        <f>累计利润调整表!X3</f>
        <v>投资银行北京一部</v>
      </c>
      <c r="Y2" s="27" t="str">
        <f>累计利润调整表!Y3</f>
        <v>投资银行北京二部</v>
      </c>
      <c r="Z2" s="27" t="str">
        <f>累计利润调整表!Z3</f>
        <v>投资银行深圳一部（筹）</v>
      </c>
      <c r="AA2" s="27" t="str">
        <f>累计利润调整表!AA3</f>
        <v>投资银行管理部</v>
      </c>
      <c r="AB2" s="27" t="str">
        <f>累计利润调整表!AB3</f>
        <v>运营支持部</v>
      </c>
      <c r="AC2" s="27"/>
      <c r="AD2" s="27"/>
      <c r="AE2" s="27"/>
    </row>
    <row r="3" spans="1:31">
      <c r="A3" s="39" t="s">
        <v>31</v>
      </c>
      <c r="B3" s="39">
        <f>累计利润调整表!B65/10000</f>
        <v>104359.975162</v>
      </c>
      <c r="C3" s="39">
        <f>累计利润调整表!C65/10000</f>
        <v>4152.00493064151</v>
      </c>
      <c r="D3" s="40">
        <f>累计利润调整表!D65/10000</f>
        <v>-26644.4793129901</v>
      </c>
      <c r="E3" s="39">
        <f>累计利润调整表!E65/10000</f>
        <v>99848.7404896566</v>
      </c>
      <c r="F3" s="39">
        <f>累计利润调整表!F65/10000</f>
        <v>-25409.3008420566</v>
      </c>
      <c r="G3" s="39">
        <f>累计利润调整表!G65/10000</f>
        <v>2361.76062953207</v>
      </c>
      <c r="H3" s="39">
        <f>累计利润调整表!H65/10000</f>
        <v>-26289.5532170566</v>
      </c>
      <c r="I3" s="39">
        <f>累计利润调整表!I65/10000</f>
        <v>1616.218279</v>
      </c>
      <c r="J3" s="39">
        <f>累计利润调整表!J65/10000</f>
        <v>-735.965904</v>
      </c>
      <c r="K3" s="39">
        <f>累计利润调整表!K65/10000</f>
        <v>21550.8027843</v>
      </c>
      <c r="L3" s="39">
        <f>累计利润调整表!L65/10000</f>
        <v>5665.691231</v>
      </c>
      <c r="M3" s="39">
        <f>累计利润调整表!M65/10000</f>
        <v>3801.1312013</v>
      </c>
      <c r="N3" s="39">
        <f>累计利润调整表!N65/10000</f>
        <v>557.498915</v>
      </c>
      <c r="O3" s="39">
        <f>累计利润调整表!O65/10000</f>
        <v>8413.973917</v>
      </c>
      <c r="P3" s="39">
        <f>累计利润调整表!P65/10000</f>
        <v>2789.280195</v>
      </c>
      <c r="Q3" s="39">
        <f>累计利润调整表!Q65/10000</f>
        <v>323.227325</v>
      </c>
      <c r="R3" s="39">
        <f>累计利润调整表!R65/10000</f>
        <v>0.939396</v>
      </c>
      <c r="S3" s="39">
        <f>累计利润调整表!S65/10000</f>
        <v>30862.2071124486</v>
      </c>
      <c r="T3" s="39">
        <f>累计利润调整表!T65/10000</f>
        <v>2124.5312429434</v>
      </c>
      <c r="U3" s="39">
        <f>累计利润调整表!U65/10000</f>
        <v>25361.5888748386</v>
      </c>
      <c r="V3" s="39">
        <f>累计利润调整表!V65/10000</f>
        <v>3027.01195466667</v>
      </c>
      <c r="W3" s="39">
        <f>累计利润调整表!W65/10000</f>
        <v>349.07504</v>
      </c>
      <c r="X3" s="39">
        <f>累计利润调整表!X65/10000</f>
        <v>0</v>
      </c>
      <c r="Y3" s="39">
        <f>累计利润调整表!Y65/10000</f>
        <v>0</v>
      </c>
      <c r="Z3" s="39">
        <f>累计利润调整表!Z65/10000</f>
        <v>0</v>
      </c>
      <c r="AA3" s="39">
        <f>累计利润调整表!AA65/10000</f>
        <v>0</v>
      </c>
      <c r="AB3" s="39">
        <f>累计利润调整表!AB65/10000</f>
        <v>0.018113</v>
      </c>
      <c r="AC3" s="39"/>
      <c r="AD3" s="39"/>
      <c r="AE3" s="39"/>
    </row>
    <row r="4" spans="1:31">
      <c r="A4" s="41" t="s">
        <v>58</v>
      </c>
      <c r="B4" s="42">
        <f>累计利润调整表!B66/10000</f>
        <v>80766.914173</v>
      </c>
      <c r="C4" s="42">
        <f>累计利润调整表!C66/10000</f>
        <v>-930.30308735849</v>
      </c>
      <c r="D4" s="42">
        <f>累计利润调整表!D66/10000</f>
        <v>2231.37140953208</v>
      </c>
      <c r="E4" s="42">
        <f>累计利润调整表!E66/10000</f>
        <v>44412.0260086566</v>
      </c>
      <c r="F4" s="42">
        <f>累计利润调整表!F66/10000</f>
        <v>4537.5171869434</v>
      </c>
      <c r="G4" s="42">
        <f>累计利润调整表!G66/10000</f>
        <v>2327.67909353208</v>
      </c>
      <c r="H4" s="42">
        <f>累计利润调整表!H66/10000</f>
        <v>3066.3415789434</v>
      </c>
      <c r="I4" s="42">
        <f>累计利润调整表!I66/10000</f>
        <v>1176.797709</v>
      </c>
      <c r="J4" s="42">
        <f>累计利润调整表!J66/10000</f>
        <v>294.377899</v>
      </c>
      <c r="K4" s="42">
        <f>累计利润调整表!K66/10000</f>
        <v>-83.0234800000001</v>
      </c>
      <c r="L4" s="42">
        <f>累计利润调整表!L66/10000</f>
        <v>-232.305216</v>
      </c>
      <c r="M4" s="42">
        <f>累计利润调整表!M66/10000</f>
        <v>305.444233</v>
      </c>
      <c r="N4" s="42">
        <f>累计利润调整表!N66/10000</f>
        <v>411.342246</v>
      </c>
      <c r="O4" s="42">
        <f>累计利润调整表!O66/10000</f>
        <v>-494.442949</v>
      </c>
      <c r="P4" s="42">
        <f>累计利润调整表!P66/10000</f>
        <v>-56.65</v>
      </c>
      <c r="Q4" s="42">
        <f>累计利润调整表!Q66/10000</f>
        <v>-16.411794</v>
      </c>
      <c r="R4" s="42">
        <f>累计利润调整表!R66/10000</f>
        <v>-0.2722</v>
      </c>
      <c r="S4" s="42">
        <f>累计利润调整表!S66/10000</f>
        <v>30599.3261352264</v>
      </c>
      <c r="T4" s="42">
        <f>累计利润调整表!T66/10000</f>
        <v>2131.0521299434</v>
      </c>
      <c r="U4" s="42">
        <f>累计利润调整表!U66/10000</f>
        <v>25049.262677283</v>
      </c>
      <c r="V4" s="42">
        <f>累计利润调整表!V66/10000</f>
        <v>3010.945288</v>
      </c>
      <c r="W4" s="42">
        <f>累计利润调整表!W66/10000</f>
        <v>408.06604</v>
      </c>
      <c r="X4" s="42">
        <f>累计利润调整表!X66/10000</f>
        <v>0</v>
      </c>
      <c r="Y4" s="42">
        <f>累计利润调整表!Y66/10000</f>
        <v>0</v>
      </c>
      <c r="Z4" s="42">
        <f>累计利润调整表!Z66/10000</f>
        <v>0</v>
      </c>
      <c r="AA4" s="42">
        <f>累计利润调整表!AA66/10000</f>
        <v>0</v>
      </c>
      <c r="AB4" s="42">
        <f>累计利润调整表!AB66/10000</f>
        <v>0</v>
      </c>
      <c r="AC4" s="42"/>
      <c r="AD4" s="42"/>
      <c r="AE4" s="42"/>
    </row>
    <row r="5" spans="1:31">
      <c r="A5" s="43" t="s">
        <v>33</v>
      </c>
      <c r="B5" s="43">
        <f>累计利润调整表!B67/10000</f>
        <v>43627.49421</v>
      </c>
      <c r="C5" s="43">
        <f>累计利润调整表!C67/10000</f>
        <v>-0.005</v>
      </c>
      <c r="D5" s="43">
        <f>累计利润调整表!D67/10000</f>
        <v>-4.379507</v>
      </c>
      <c r="E5" s="43">
        <f>累计利润调整表!E67/10000</f>
        <v>43357.05938</v>
      </c>
      <c r="F5" s="43">
        <f>累计利润调整表!F67/10000</f>
        <v>53.086875</v>
      </c>
      <c r="G5" s="43">
        <f>累计利润调整表!G67/10000</f>
        <v>41.498417</v>
      </c>
      <c r="H5" s="43">
        <f>累计利润调整表!H67/10000</f>
        <v>0</v>
      </c>
      <c r="I5" s="43">
        <f>累计利润调整表!I67/10000</f>
        <v>0</v>
      </c>
      <c r="J5" s="43">
        <f>累计利润调整表!J67/10000</f>
        <v>53.086875</v>
      </c>
      <c r="K5" s="43">
        <f>累计利润调整表!K67/10000</f>
        <v>221.732462</v>
      </c>
      <c r="L5" s="43">
        <f>累计利润调整表!L67/10000</f>
        <v>0</v>
      </c>
      <c r="M5" s="43">
        <f>累计利润调整表!M67/10000</f>
        <v>217.198113</v>
      </c>
      <c r="N5" s="43">
        <f>累计利润调整表!N67/10000</f>
        <v>-11.210908</v>
      </c>
      <c r="O5" s="43">
        <f>累计利润调整表!O67/10000</f>
        <v>17.667051</v>
      </c>
      <c r="P5" s="43">
        <f>累计利润调整表!P67/10000</f>
        <v>0</v>
      </c>
      <c r="Q5" s="43">
        <f>累计利润调整表!Q67/10000</f>
        <v>-1.921794</v>
      </c>
      <c r="R5" s="43">
        <f>累计利润调整表!R67/10000</f>
        <v>0</v>
      </c>
      <c r="S5" s="43">
        <f>累计利润调整表!S67/10000</f>
        <v>0</v>
      </c>
      <c r="T5" s="43">
        <f>累计利润调整表!T67/10000</f>
        <v>0</v>
      </c>
      <c r="U5" s="43">
        <f>累计利润调整表!U67/10000</f>
        <v>0</v>
      </c>
      <c r="V5" s="43">
        <f>累计利润调整表!V67/10000</f>
        <v>0</v>
      </c>
      <c r="W5" s="43">
        <f>累计利润调整表!W67/10000</f>
        <v>0</v>
      </c>
      <c r="X5" s="43">
        <f>累计利润调整表!X67/10000</f>
        <v>0</v>
      </c>
      <c r="Y5" s="43">
        <f>累计利润调整表!Y67/10000</f>
        <v>0</v>
      </c>
      <c r="Z5" s="43">
        <f>累计利润调整表!Z67/10000</f>
        <v>0</v>
      </c>
      <c r="AA5" s="43">
        <f>累计利润调整表!AA67/10000</f>
        <v>0</v>
      </c>
      <c r="AB5" s="43">
        <f>累计利润调整表!AB67/10000</f>
        <v>0</v>
      </c>
      <c r="AC5" s="43"/>
      <c r="AD5" s="43"/>
      <c r="AE5" s="43"/>
    </row>
    <row r="6" spans="1:31">
      <c r="A6" s="43" t="s">
        <v>34</v>
      </c>
      <c r="B6" s="43">
        <f>累计利润调整表!B68/10000</f>
        <v>29864.509153</v>
      </c>
      <c r="C6" s="43">
        <f>累计利润调整表!C68/10000</f>
        <v>-1087.89664235849</v>
      </c>
      <c r="D6" s="43">
        <f>累计利润调整表!D68/10000</f>
        <v>-11.5516943396226</v>
      </c>
      <c r="E6" s="43">
        <f>累计利润调整表!E68/10000</f>
        <v>551.423808471698</v>
      </c>
      <c r="F6" s="43">
        <f>累计利润调整表!F68/10000</f>
        <v>0</v>
      </c>
      <c r="G6" s="43">
        <f>累计利润调整表!G68/10000</f>
        <v>-11.5516943396226</v>
      </c>
      <c r="H6" s="43">
        <f>累计利润调整表!H68/10000</f>
        <v>0</v>
      </c>
      <c r="I6" s="43">
        <f>累计利润调整表!I68/10000</f>
        <v>0</v>
      </c>
      <c r="J6" s="43">
        <f>累计利润调整表!J68/10000</f>
        <v>0</v>
      </c>
      <c r="K6" s="43">
        <f>累计利润调整表!K68/10000</f>
        <v>1.886792</v>
      </c>
      <c r="L6" s="43">
        <f>累计利润调整表!L68/10000</f>
        <v>0</v>
      </c>
      <c r="M6" s="43">
        <f>累计利润调整表!M68/10000</f>
        <v>1.886792</v>
      </c>
      <c r="N6" s="43">
        <f>累计利润调整表!N68/10000</f>
        <v>0</v>
      </c>
      <c r="O6" s="43">
        <f>累计利润调整表!O68/10000</f>
        <v>0</v>
      </c>
      <c r="P6" s="43">
        <f>累计利润调整表!P68/10000</f>
        <v>0</v>
      </c>
      <c r="Q6" s="43">
        <f>累计利润调整表!Q68/10000</f>
        <v>0</v>
      </c>
      <c r="R6" s="43">
        <f>累计利润调整表!R68/10000</f>
        <v>0</v>
      </c>
      <c r="S6" s="43">
        <f>累计利润调整表!S68/10000</f>
        <v>30410.6468892264</v>
      </c>
      <c r="T6" s="43">
        <f>累计利润调整表!T68/10000</f>
        <v>2131.0521299434</v>
      </c>
      <c r="U6" s="43">
        <f>累计利润调整表!U68/10000</f>
        <v>24860.583431283</v>
      </c>
      <c r="V6" s="43">
        <f>累计利润调整表!V68/10000</f>
        <v>3010.945288</v>
      </c>
      <c r="W6" s="43">
        <f>累计利润调整表!W68/10000</f>
        <v>408.06604</v>
      </c>
      <c r="X6" s="43">
        <f>累计利润调整表!X68/10000</f>
        <v>0</v>
      </c>
      <c r="Y6" s="43">
        <f>累计利润调整表!Y68/10000</f>
        <v>0</v>
      </c>
      <c r="Z6" s="43">
        <f>累计利润调整表!Z68/10000</f>
        <v>0</v>
      </c>
      <c r="AA6" s="43">
        <f>累计利润调整表!AA68/10000</f>
        <v>0</v>
      </c>
      <c r="AB6" s="43">
        <f>累计利润调整表!AB68/10000</f>
        <v>0</v>
      </c>
      <c r="AC6" s="43"/>
      <c r="AD6" s="43"/>
      <c r="AE6" s="43"/>
    </row>
    <row r="7" spans="1:31">
      <c r="A7" s="43" t="s">
        <v>35</v>
      </c>
      <c r="B7" s="43">
        <f>累计利润调整表!B69/10000</f>
        <v>7024.446261</v>
      </c>
      <c r="C7" s="43">
        <f>累计利润调整表!C69/10000</f>
        <v>157.598555</v>
      </c>
      <c r="D7" s="43">
        <f>累计利润调整表!D69/10000</f>
        <v>2298.5934448717</v>
      </c>
      <c r="E7" s="43">
        <f>累计利润调整表!E69/10000</f>
        <v>315.350575184906</v>
      </c>
      <c r="F7" s="43">
        <f>累计利润调整表!F69/10000</f>
        <v>4484.4303119434</v>
      </c>
      <c r="G7" s="43">
        <f>累计利润调整表!G69/10000</f>
        <v>2298.5934448717</v>
      </c>
      <c r="H7" s="43">
        <f>累计利润调整表!H69/10000</f>
        <v>3066.3415789434</v>
      </c>
      <c r="I7" s="43">
        <f>累计利润调整表!I69/10000</f>
        <v>1176.797709</v>
      </c>
      <c r="J7" s="43">
        <f>累计利润调整表!J69/10000</f>
        <v>241.291024</v>
      </c>
      <c r="K7" s="43">
        <f>累计利润调整表!K69/10000</f>
        <v>-420.205872</v>
      </c>
      <c r="L7" s="43">
        <f>累计利润调整表!L69/10000</f>
        <v>-23.07</v>
      </c>
      <c r="M7" s="43">
        <f>累计利润调整表!M69/10000</f>
        <v>-23.67</v>
      </c>
      <c r="N7" s="43">
        <f>累计利润调整表!N69/10000</f>
        <v>209.784128</v>
      </c>
      <c r="O7" s="43">
        <f>累计利润调整表!O69/10000</f>
        <v>-512.11</v>
      </c>
      <c r="P7" s="43">
        <f>累计利润调整表!P69/10000</f>
        <v>-56.65</v>
      </c>
      <c r="Q7" s="43">
        <f>累计利润调整表!Q69/10000</f>
        <v>-14.49</v>
      </c>
      <c r="R7" s="43">
        <f>累计利润调整表!R69/10000</f>
        <v>0</v>
      </c>
      <c r="S7" s="43">
        <f>累计利润调整表!S69/10000</f>
        <v>188.679246</v>
      </c>
      <c r="T7" s="43">
        <f>累计利润调整表!T69/10000</f>
        <v>0</v>
      </c>
      <c r="U7" s="43">
        <f>累计利润调整表!U69/10000</f>
        <v>188.679246</v>
      </c>
      <c r="V7" s="43">
        <f>累计利润调整表!V69/10000</f>
        <v>0</v>
      </c>
      <c r="W7" s="43" t="e">
        <f>累计利润调整表!W69/10000</f>
        <v>#VALUE!</v>
      </c>
      <c r="X7" s="43">
        <f>累计利润调整表!X69/10000</f>
        <v>0</v>
      </c>
      <c r="Y7" s="43">
        <f>累计利润调整表!Y69/10000</f>
        <v>0</v>
      </c>
      <c r="Z7" s="43">
        <f>累计利润调整表!Z69/10000</f>
        <v>0</v>
      </c>
      <c r="AA7" s="43">
        <f>累计利润调整表!AA69/10000</f>
        <v>0</v>
      </c>
      <c r="AB7" s="43">
        <f>累计利润调整表!AB69/10000</f>
        <v>0</v>
      </c>
      <c r="AC7" s="43"/>
      <c r="AD7" s="43"/>
      <c r="AE7" s="43"/>
    </row>
    <row r="8" spans="1:31">
      <c r="A8" s="41" t="s">
        <v>59</v>
      </c>
      <c r="B8" s="41">
        <f>累计利润调整表!B70/10000</f>
        <v>27914.077044</v>
      </c>
      <c r="C8" s="41">
        <f>累计利润调整表!C70/10000</f>
        <v>382.585079</v>
      </c>
      <c r="D8" s="41">
        <f>累计利润调整表!D70/10000</f>
        <v>-29786.3453092222</v>
      </c>
      <c r="E8" s="41">
        <f>累计利润调整表!E70/10000</f>
        <v>54154.074697</v>
      </c>
      <c r="F8" s="41">
        <f>累计利润调整表!F70/10000</f>
        <v>240.506961</v>
      </c>
      <c r="G8" s="41">
        <f>累计利润调整表!G70/10000</f>
        <v>35.235196</v>
      </c>
      <c r="H8" s="41">
        <f>累计利润调整表!H70/10000</f>
        <v>7.474865</v>
      </c>
      <c r="I8" s="41">
        <f>累计利润调整表!I70/10000</f>
        <v>0</v>
      </c>
      <c r="J8" s="41">
        <f>累计利润调整表!J70/10000</f>
        <v>233.032096</v>
      </c>
      <c r="K8" s="41">
        <f>累计利润调整表!K70/10000</f>
        <v>2594.862752</v>
      </c>
      <c r="L8" s="41">
        <f>累计利润调整表!L70/10000</f>
        <v>21.382561</v>
      </c>
      <c r="M8" s="41">
        <f>累计利润调整表!M70/10000</f>
        <v>-61.328224</v>
      </c>
      <c r="N8" s="41">
        <f>累计利润调整表!N70/10000</f>
        <v>0</v>
      </c>
      <c r="O8" s="41">
        <f>累计利润调整表!O70/10000</f>
        <v>2555.038702</v>
      </c>
      <c r="P8" s="41">
        <f>累计利润调整表!P70/10000</f>
        <v>0</v>
      </c>
      <c r="Q8" s="41">
        <f>累计利润调整表!Q70/10000</f>
        <v>79.769713</v>
      </c>
      <c r="R8" s="41">
        <f>累计利润调整表!R70/10000</f>
        <v>1.211596</v>
      </c>
      <c r="S8" s="41">
        <f>累计利润调整表!S70/10000</f>
        <v>328.392864222223</v>
      </c>
      <c r="T8" s="41">
        <f>累计利润调整表!T70/10000</f>
        <v>0</v>
      </c>
      <c r="U8" s="41">
        <f>累计利润调整表!U70/10000</f>
        <v>312.326197555556</v>
      </c>
      <c r="V8" s="41">
        <f>累计利润调整表!V70/10000</f>
        <v>16.0666666666667</v>
      </c>
      <c r="W8" s="41">
        <f>累计利润调整表!W70/10000</f>
        <v>0</v>
      </c>
      <c r="X8" s="41">
        <f>累计利润调整表!X70/10000</f>
        <v>0</v>
      </c>
      <c r="Y8" s="41">
        <f>累计利润调整表!Y70/10000</f>
        <v>0</v>
      </c>
      <c r="Z8" s="41">
        <f>累计利润调整表!Z70/10000</f>
        <v>0</v>
      </c>
      <c r="AA8" s="41">
        <f>累计利润调整表!AA70/10000</f>
        <v>0</v>
      </c>
      <c r="AB8" s="41">
        <f>累计利润调整表!AB70/10000</f>
        <v>0</v>
      </c>
      <c r="AC8" s="41"/>
      <c r="AD8" s="41"/>
      <c r="AE8" s="41"/>
    </row>
    <row r="9" spans="1:31">
      <c r="A9" s="41" t="s">
        <v>37</v>
      </c>
      <c r="B9" s="41">
        <f>累计利润调整表!B71/10000</f>
        <v>8985.81090399999</v>
      </c>
      <c r="C9" s="41">
        <f>累计利润调整表!C71/10000</f>
        <v>-556.523839</v>
      </c>
      <c r="D9" s="41">
        <f>累计利润调整表!D71/10000</f>
        <v>917.0224967</v>
      </c>
      <c r="E9" s="41">
        <f>累计利润调整表!E71/10000</f>
        <v>42.528176</v>
      </c>
      <c r="F9" s="41">
        <f>累计利润调整表!F71/10000</f>
        <v>-9236.842305</v>
      </c>
      <c r="G9" s="41">
        <f>累计利润调整表!G71/10000</f>
        <v>15.722587</v>
      </c>
      <c r="H9" s="41">
        <f>累计利润调整表!H71/10000</f>
        <v>-8462.419459</v>
      </c>
      <c r="I9" s="41">
        <f>累计利润调整表!I71/10000</f>
        <v>326.211519</v>
      </c>
      <c r="J9" s="41">
        <f>累计利润调整表!J71/10000</f>
        <v>-1100.634365</v>
      </c>
      <c r="K9" s="41">
        <f>累计利润调整表!K71/10000</f>
        <v>17827.2614153</v>
      </c>
      <c r="L9" s="41">
        <f>累计利润调整表!L71/10000</f>
        <v>6400.485795</v>
      </c>
      <c r="M9" s="41">
        <f>累计利润调整表!M71/10000</f>
        <v>7193.6245893</v>
      </c>
      <c r="N9" s="41">
        <f>累计利润调整表!N71/10000</f>
        <v>176.276788</v>
      </c>
      <c r="O9" s="41">
        <f>累计利润调整表!O71/10000</f>
        <v>3210.847591</v>
      </c>
      <c r="P9" s="41">
        <f>累计利润调整表!P71/10000</f>
        <v>1292.163672</v>
      </c>
      <c r="Q9" s="41">
        <f>累计利润调整表!Q71/10000</f>
        <v>-446.13702</v>
      </c>
      <c r="R9" s="41">
        <f>累计利润调整表!R71/10000</f>
        <v>0</v>
      </c>
      <c r="S9" s="41">
        <f>累计利润调整表!S71/10000</f>
        <v>-7.63504</v>
      </c>
      <c r="T9" s="41">
        <f>累计利润调整表!T71/10000</f>
        <v>-9.400215</v>
      </c>
      <c r="U9" s="41">
        <f>累计利润调整表!U71/10000</f>
        <v>0</v>
      </c>
      <c r="V9" s="41">
        <f>累计利润调整表!V71/10000</f>
        <v>0</v>
      </c>
      <c r="W9" s="41">
        <f>累计利润调整表!W71/10000</f>
        <v>1.765175</v>
      </c>
      <c r="X9" s="41">
        <f>累计利润调整表!X71/10000</f>
        <v>0</v>
      </c>
      <c r="Y9" s="41">
        <f>累计利润调整表!Y71/10000</f>
        <v>0</v>
      </c>
      <c r="Z9" s="41">
        <f>累计利润调整表!Z71/10000</f>
        <v>0</v>
      </c>
      <c r="AA9" s="41">
        <f>累计利润调整表!AA71/10000</f>
        <v>0</v>
      </c>
      <c r="AB9" s="41">
        <f>累计利润调整表!AB71/10000</f>
        <v>0</v>
      </c>
      <c r="AC9" s="41"/>
      <c r="AD9" s="41"/>
      <c r="AE9" s="41"/>
    </row>
    <row r="10" spans="1:31">
      <c r="A10" s="41" t="s">
        <v>60</v>
      </c>
      <c r="B10" s="41">
        <f>累计利润调整表!B72/10000</f>
        <v>0</v>
      </c>
      <c r="C10" s="41">
        <f>累计利润调整表!C72/10000</f>
        <v>0</v>
      </c>
      <c r="D10" s="41">
        <f>累计利润调整表!D72/10000</f>
        <v>0</v>
      </c>
      <c r="E10" s="41">
        <f>累计利润调整表!E72/10000</f>
        <v>0</v>
      </c>
      <c r="F10" s="41">
        <f>累计利润调整表!F72/10000</f>
        <v>0</v>
      </c>
      <c r="G10" s="41">
        <f>累计利润调整表!G72/10000</f>
        <v>0</v>
      </c>
      <c r="H10" s="41">
        <f>累计利润调整表!H72/10000</f>
        <v>0</v>
      </c>
      <c r="I10" s="41">
        <f>累计利润调整表!I72/10000</f>
        <v>0</v>
      </c>
      <c r="J10" s="41">
        <f>累计利润调整表!J72/10000</f>
        <v>0</v>
      </c>
      <c r="K10" s="41">
        <f>累计利润调整表!K72/10000</f>
        <v>0</v>
      </c>
      <c r="L10" s="41">
        <f>累计利润调整表!L72/10000</f>
        <v>0</v>
      </c>
      <c r="M10" s="41">
        <f>累计利润调整表!M72/10000</f>
        <v>0</v>
      </c>
      <c r="N10" s="41">
        <f>累计利润调整表!N72/10000</f>
        <v>0</v>
      </c>
      <c r="O10" s="41">
        <f>累计利润调整表!O72/10000</f>
        <v>0</v>
      </c>
      <c r="P10" s="41">
        <f>累计利润调整表!P72/10000</f>
        <v>0</v>
      </c>
      <c r="Q10" s="41">
        <f>累计利润调整表!Q72/10000</f>
        <v>0</v>
      </c>
      <c r="R10" s="41">
        <f>累计利润调整表!R72/10000</f>
        <v>0</v>
      </c>
      <c r="S10" s="41">
        <f>累计利润调整表!S72/10000</f>
        <v>0</v>
      </c>
      <c r="T10" s="41">
        <f>累计利润调整表!T72/10000</f>
        <v>0</v>
      </c>
      <c r="U10" s="41">
        <f>累计利润调整表!U72/10000</f>
        <v>0</v>
      </c>
      <c r="V10" s="41">
        <f>累计利润调整表!V72/10000</f>
        <v>0</v>
      </c>
      <c r="W10" s="41">
        <f>累计利润调整表!W72/10000</f>
        <v>0</v>
      </c>
      <c r="X10" s="41">
        <f>累计利润调整表!X72/10000</f>
        <v>0</v>
      </c>
      <c r="Y10" s="41">
        <f>累计利润调整表!Y72/10000</f>
        <v>0</v>
      </c>
      <c r="Z10" s="41">
        <f>累计利润调整表!Z72/10000</f>
        <v>0</v>
      </c>
      <c r="AA10" s="41">
        <f>累计利润调整表!AA72/10000</f>
        <v>0</v>
      </c>
      <c r="AB10" s="41">
        <f>累计利润调整表!AB72/10000</f>
        <v>0</v>
      </c>
      <c r="AC10" s="41"/>
      <c r="AD10" s="41"/>
      <c r="AE10" s="41"/>
    </row>
    <row r="11" spans="1:31">
      <c r="A11" s="41" t="s">
        <v>39</v>
      </c>
      <c r="B11" s="41">
        <f>累计利润调整表!B73/10000</f>
        <v>-13999.976854</v>
      </c>
      <c r="C11" s="41">
        <f>累计利润调整表!C73/10000</f>
        <v>5636.310388</v>
      </c>
      <c r="D11" s="41">
        <f>累计利润调整表!D73/10000</f>
        <v>-16.876247</v>
      </c>
      <c r="E11" s="41">
        <f>累计利润调整表!E73/10000</f>
        <v>177.24644</v>
      </c>
      <c r="F11" s="41">
        <f>累计利润调整表!F73/10000</f>
        <v>-20950.482685</v>
      </c>
      <c r="G11" s="41">
        <f>累计利润调整表!G73/10000</f>
        <v>-16.876247</v>
      </c>
      <c r="H11" s="41">
        <f>累计利润调整表!H73/10000</f>
        <v>-20900.950202</v>
      </c>
      <c r="I11" s="41">
        <f>累计利润调整表!I73/10000</f>
        <v>113.209051</v>
      </c>
      <c r="J11" s="41">
        <f>累计利润调整表!J73/10000</f>
        <v>-162.741534</v>
      </c>
      <c r="K11" s="41">
        <f>累计利润调整表!K73/10000</f>
        <v>1211.702097</v>
      </c>
      <c r="L11" s="41">
        <f>累计利润调整表!L73/10000</f>
        <v>-523.871909</v>
      </c>
      <c r="M11" s="41">
        <f>累计利润调整表!M73/10000</f>
        <v>-3636.609397</v>
      </c>
      <c r="N11" s="41">
        <f>累计利润调整表!N73/10000</f>
        <v>-30.120119</v>
      </c>
      <c r="O11" s="41">
        <f>累计利润调整表!O73/10000</f>
        <v>3142.530573</v>
      </c>
      <c r="P11" s="41">
        <f>累计利润调整表!P73/10000</f>
        <v>1553.766523</v>
      </c>
      <c r="Q11" s="41">
        <f>累计利润调整表!Q73/10000</f>
        <v>706.006426</v>
      </c>
      <c r="R11" s="41">
        <f>累计利润调整表!R73/10000</f>
        <v>0</v>
      </c>
      <c r="S11" s="41">
        <f>累计利润调整表!S73/10000</f>
        <v>-57.876847</v>
      </c>
      <c r="T11" s="41">
        <f>累计利润调整表!T73/10000</f>
        <v>2.879328</v>
      </c>
      <c r="U11" s="41">
        <f>累计利润调整表!U73/10000</f>
        <v>0</v>
      </c>
      <c r="V11" s="41">
        <f>累计利润调整表!V73/10000</f>
        <v>0</v>
      </c>
      <c r="W11" s="41">
        <f>累计利润调整表!W73/10000</f>
        <v>-60.756175</v>
      </c>
      <c r="X11" s="41">
        <f>累计利润调整表!X73/10000</f>
        <v>0</v>
      </c>
      <c r="Y11" s="41">
        <f>累计利润调整表!Y73/10000</f>
        <v>0</v>
      </c>
      <c r="Z11" s="41">
        <f>累计利润调整表!Z73/10000</f>
        <v>0</v>
      </c>
      <c r="AA11" s="41">
        <f>累计利润调整表!AA73/10000</f>
        <v>0</v>
      </c>
      <c r="AB11" s="41">
        <f>累计利润调整表!AB73/10000</f>
        <v>0</v>
      </c>
      <c r="AC11" s="41"/>
      <c r="AD11" s="41"/>
      <c r="AE11" s="41"/>
    </row>
    <row r="12" spans="1:31">
      <c r="A12" s="41" t="s">
        <v>61</v>
      </c>
      <c r="B12" s="41">
        <f>累计利润调整表!B74/10000</f>
        <v>-88.840165</v>
      </c>
      <c r="C12" s="41">
        <f>累计利润调整表!C74/10000</f>
        <v>0</v>
      </c>
      <c r="D12" s="41">
        <f>累计利润调整表!D74/10000</f>
        <v>10.330224</v>
      </c>
      <c r="E12" s="41">
        <f>累计利润调整表!E74/10000</f>
        <v>-99.170389</v>
      </c>
      <c r="F12" s="41">
        <f>累计利润调整表!F74/10000</f>
        <v>0</v>
      </c>
      <c r="G12" s="41">
        <f>累计利润调整表!G74/10000</f>
        <v>0</v>
      </c>
      <c r="H12" s="41">
        <f>累计利润调整表!H74/10000</f>
        <v>0</v>
      </c>
      <c r="I12" s="41">
        <f>累计利润调整表!I74/10000</f>
        <v>0</v>
      </c>
      <c r="J12" s="41">
        <f>累计利润调整表!J74/10000</f>
        <v>0</v>
      </c>
      <c r="K12" s="41">
        <f>累计利润调整表!K74/10000</f>
        <v>0</v>
      </c>
      <c r="L12" s="41">
        <f>累计利润调整表!L74/10000</f>
        <v>0</v>
      </c>
      <c r="M12" s="41">
        <f>累计利润调整表!M74/10000</f>
        <v>0</v>
      </c>
      <c r="N12" s="41">
        <f>累计利润调整表!N74/10000</f>
        <v>0</v>
      </c>
      <c r="O12" s="41">
        <f>累计利润调整表!O74/10000</f>
        <v>0</v>
      </c>
      <c r="P12" s="41">
        <f>累计利润调整表!P74/10000</f>
        <v>0</v>
      </c>
      <c r="Q12" s="41">
        <f>累计利润调整表!Q74/10000</f>
        <v>0</v>
      </c>
      <c r="R12" s="41">
        <f>累计利润调整表!R74/10000</f>
        <v>0</v>
      </c>
      <c r="S12" s="41">
        <f>累计利润调整表!S74/10000</f>
        <v>0</v>
      </c>
      <c r="T12" s="41">
        <f>累计利润调整表!T74/10000</f>
        <v>0</v>
      </c>
      <c r="U12" s="41">
        <f>累计利润调整表!U74/10000</f>
        <v>0</v>
      </c>
      <c r="V12" s="41">
        <f>累计利润调整表!V74/10000</f>
        <v>0</v>
      </c>
      <c r="W12" s="41">
        <f>累计利润调整表!W74/10000</f>
        <v>0</v>
      </c>
      <c r="X12" s="41">
        <f>累计利润调整表!X74/10000</f>
        <v>0</v>
      </c>
      <c r="Y12" s="41">
        <f>累计利润调整表!Y74/10000</f>
        <v>0</v>
      </c>
      <c r="Z12" s="41">
        <f>累计利润调整表!Z74/10000</f>
        <v>0</v>
      </c>
      <c r="AA12" s="41">
        <f>累计利润调整表!AA74/10000</f>
        <v>0</v>
      </c>
      <c r="AB12" s="41">
        <f>累计利润调整表!AB74/10000</f>
        <v>0</v>
      </c>
      <c r="AC12" s="41"/>
      <c r="AD12" s="41"/>
      <c r="AE12" s="41"/>
    </row>
    <row r="13" spans="1:31">
      <c r="A13" s="41" t="s">
        <v>62</v>
      </c>
      <c r="B13" s="41">
        <f>累计利润调整表!B75/10000</f>
        <v>781.99006</v>
      </c>
      <c r="C13" s="41">
        <f>累计利润调整表!C75/10000</f>
        <v>-380.06361</v>
      </c>
      <c r="D13" s="41">
        <f>累计利润调整表!D75/10000</f>
        <v>0.018113</v>
      </c>
      <c r="E13" s="41">
        <f>累计利润调整表!E75/10000</f>
        <v>1162.035557</v>
      </c>
      <c r="F13" s="41">
        <f>累计利润调整表!F75/10000</f>
        <v>0</v>
      </c>
      <c r="G13" s="41">
        <f>累计利润调整表!G75/10000</f>
        <v>0</v>
      </c>
      <c r="H13" s="41">
        <f>累计利润调整表!H75/10000</f>
        <v>0</v>
      </c>
      <c r="I13" s="41">
        <f>累计利润调整表!I75/10000</f>
        <v>0</v>
      </c>
      <c r="J13" s="41">
        <f>累计利润调整表!J75/10000</f>
        <v>0</v>
      </c>
      <c r="K13" s="41">
        <f>累计利润调整表!K75/10000</f>
        <v>0</v>
      </c>
      <c r="L13" s="41">
        <f>累计利润调整表!L75/10000</f>
        <v>0</v>
      </c>
      <c r="M13" s="41">
        <f>累计利润调整表!M75/10000</f>
        <v>0</v>
      </c>
      <c r="N13" s="41">
        <f>累计利润调整表!N75/10000</f>
        <v>0</v>
      </c>
      <c r="O13" s="41">
        <f>累计利润调整表!O75/10000</f>
        <v>0</v>
      </c>
      <c r="P13" s="41">
        <f>累计利润调整表!P75/10000</f>
        <v>0</v>
      </c>
      <c r="Q13" s="41">
        <f>累计利润调整表!Q75/10000</f>
        <v>0</v>
      </c>
      <c r="R13" s="41">
        <f>累计利润调整表!R75/10000</f>
        <v>0</v>
      </c>
      <c r="S13" s="41">
        <f>累计利润调整表!S75/10000</f>
        <v>0</v>
      </c>
      <c r="T13" s="41">
        <f>累计利润调整表!T75/10000</f>
        <v>0</v>
      </c>
      <c r="U13" s="41">
        <f>累计利润调整表!U75/10000</f>
        <v>0</v>
      </c>
      <c r="V13" s="41">
        <f>累计利润调整表!V75/10000</f>
        <v>0</v>
      </c>
      <c r="W13" s="41">
        <f>累计利润调整表!W75/10000</f>
        <v>0</v>
      </c>
      <c r="X13" s="41">
        <f>累计利润调整表!X75/10000</f>
        <v>0</v>
      </c>
      <c r="Y13" s="41">
        <f>累计利润调整表!Y75/10000</f>
        <v>0</v>
      </c>
      <c r="Z13" s="41">
        <f>累计利润调整表!Z75/10000</f>
        <v>0</v>
      </c>
      <c r="AA13" s="41">
        <f>累计利润调整表!AA75/10000</f>
        <v>0</v>
      </c>
      <c r="AB13" s="41">
        <f>累计利润调整表!AB75/10000</f>
        <v>0.018113</v>
      </c>
      <c r="AC13" s="41"/>
      <c r="AD13" s="41"/>
      <c r="AE13" s="41"/>
    </row>
    <row r="14" spans="1:31">
      <c r="A14" s="44" t="s">
        <v>42</v>
      </c>
      <c r="B14" s="45">
        <f>累计利润调整表!B76/10000</f>
        <v>74964.56914</v>
      </c>
      <c r="C14" s="45">
        <f>累计利润调整表!C76/10000</f>
        <v>1367.06554590505</v>
      </c>
      <c r="D14" s="45">
        <f>累计利润调整表!D76/10000</f>
        <v>17861.2547261378</v>
      </c>
      <c r="E14" s="45">
        <f>累计利润调整表!E76/10000</f>
        <v>38011.3433867924</v>
      </c>
      <c r="F14" s="45">
        <f>累计利润调整表!F76/10000</f>
        <v>1694.686343</v>
      </c>
      <c r="G14" s="45">
        <f>累计利润调整表!G76/10000</f>
        <v>665.652506</v>
      </c>
      <c r="H14" s="45">
        <f>累计利润调整表!H76/10000</f>
        <v>448.628773</v>
      </c>
      <c r="I14" s="45">
        <f>累计利润调整表!I76/10000</f>
        <v>541.928415</v>
      </c>
      <c r="J14" s="45">
        <f>累计利润调整表!J76/10000</f>
        <v>704.129155</v>
      </c>
      <c r="K14" s="45">
        <f>累计利润调整表!K76/10000</f>
        <v>2996.71440516463</v>
      </c>
      <c r="L14" s="45">
        <f>累计利润调整表!L76/10000</f>
        <v>528.542419287157</v>
      </c>
      <c r="M14" s="45">
        <f>累计利润调整表!M76/10000</f>
        <v>523.463089518798</v>
      </c>
      <c r="N14" s="45">
        <f>累计利润调整表!N76/10000</f>
        <v>237.020985865801</v>
      </c>
      <c r="O14" s="45">
        <f>累计利润调整表!O76/10000</f>
        <v>810.82729528861</v>
      </c>
      <c r="P14" s="45">
        <f>累计利润调整表!P76/10000</f>
        <v>439.905732972912</v>
      </c>
      <c r="Q14" s="45">
        <f>累计利润调整表!Q76/10000</f>
        <v>456.954882231348</v>
      </c>
      <c r="R14" s="45">
        <f>累计利润调整表!R76/10000</f>
        <v>932.772916</v>
      </c>
      <c r="S14" s="45">
        <f>累计利润调整表!S76/10000</f>
        <v>13033.5047330001</v>
      </c>
      <c r="T14" s="45">
        <f>累计利润调整表!T76/10000</f>
        <v>1185.06585055872</v>
      </c>
      <c r="U14" s="45">
        <f>累计利润调整表!U76/10000</f>
        <v>8716.59593673624</v>
      </c>
      <c r="V14" s="45">
        <f>累计利润调整表!V76/10000</f>
        <v>2317.79211689445</v>
      </c>
      <c r="W14" s="45">
        <f>累计利润调整表!W76/10000</f>
        <v>362.409370810689</v>
      </c>
      <c r="X14" s="45">
        <f>累计利润调整表!X76/10000</f>
        <v>284.682568</v>
      </c>
      <c r="Y14" s="45">
        <f>累计利润调整表!Y76/10000</f>
        <v>67.59777</v>
      </c>
      <c r="Z14" s="45">
        <f>累计利润调整表!Z76/10000</f>
        <v>99.36112</v>
      </c>
      <c r="AA14" s="45">
        <f>累计利润调整表!AA76/10000</f>
        <v>751.921697</v>
      </c>
      <c r="AB14" s="45">
        <f>累计利润调整表!AB76/10000</f>
        <v>837.796907</v>
      </c>
      <c r="AC14" s="45"/>
      <c r="AD14" s="45"/>
      <c r="AE14" s="45"/>
    </row>
    <row r="15" spans="1:31">
      <c r="A15" s="42" t="s">
        <v>63</v>
      </c>
      <c r="B15" s="42">
        <f>累计利润调整表!B77/10000</f>
        <v>1021.48171</v>
      </c>
      <c r="C15" s="42">
        <f>累计利润调整表!C77/10000</f>
        <v>-10.705118</v>
      </c>
      <c r="D15" s="42">
        <f>累计利润调整表!D77/10000</f>
        <v>-125.051532</v>
      </c>
      <c r="E15" s="42">
        <f>累计利润调整表!E77/10000</f>
        <v>658.803182</v>
      </c>
      <c r="F15" s="42">
        <f>累计利润调整表!F77/10000</f>
        <v>23.20895</v>
      </c>
      <c r="G15" s="42">
        <f>累计利润调整表!G77/10000</f>
        <v>17.7235</v>
      </c>
      <c r="H15" s="42">
        <f>累计利润调整表!H77/10000</f>
        <v>22.010331</v>
      </c>
      <c r="I15" s="42">
        <f>累计利润调整表!I77/10000</f>
        <v>8.464227</v>
      </c>
      <c r="J15" s="42">
        <f>累计利润调整表!J77/10000</f>
        <v>-7.265608</v>
      </c>
      <c r="K15" s="42">
        <f>累计利润调整表!K77/10000</f>
        <v>256.253294</v>
      </c>
      <c r="L15" s="42">
        <f>累计利润调整表!L77/10000</f>
        <v>170.954455</v>
      </c>
      <c r="M15" s="42">
        <f>累计利润调整表!M77/10000</f>
        <v>64.838402</v>
      </c>
      <c r="N15" s="42">
        <f>累计利润调整表!N77/10000</f>
        <v>3.905972</v>
      </c>
      <c r="O15" s="42">
        <f>累计利润调整表!O77/10000</f>
        <v>13.083808</v>
      </c>
      <c r="P15" s="42">
        <f>累计利润调整表!P77/10000</f>
        <v>6.875714</v>
      </c>
      <c r="Q15" s="42">
        <f>累计利润调整表!Q77/10000</f>
        <v>-3.405057</v>
      </c>
      <c r="R15" s="42">
        <f>累计利润调整表!R77/10000</f>
        <v>-3.315947</v>
      </c>
      <c r="S15" s="42">
        <f>累计利润调整表!S77/10000</f>
        <v>218.972934</v>
      </c>
      <c r="T15" s="42">
        <f>累计利润调整表!T77/10000</f>
        <v>15.207979</v>
      </c>
      <c r="U15" s="42">
        <f>累计利润调整表!U77/10000</f>
        <v>179.457178</v>
      </c>
      <c r="V15" s="42">
        <f>累计利润调整表!V77/10000</f>
        <v>21.438095</v>
      </c>
      <c r="W15" s="42">
        <f>累计利润调整表!W77/10000</f>
        <v>2.938892</v>
      </c>
      <c r="X15" s="42">
        <f>累计利润调整表!X77/10000</f>
        <v>-0.058069</v>
      </c>
      <c r="Y15" s="42">
        <f>累计利润调整表!Y77/10000</f>
        <v>-0.011141</v>
      </c>
      <c r="Z15" s="42">
        <f>累计利润调整表!Z77/10000</f>
        <v>0</v>
      </c>
      <c r="AA15" s="42">
        <f>累计利润调整表!AA77/10000</f>
        <v>-0.760037</v>
      </c>
      <c r="AB15" s="42">
        <f>累计利润调整表!AB77/10000</f>
        <v>-0.176832</v>
      </c>
      <c r="AC15" s="42"/>
      <c r="AD15" s="42"/>
      <c r="AE15" s="42"/>
    </row>
    <row r="16" spans="1:31">
      <c r="A16" s="42" t="s">
        <v>64</v>
      </c>
      <c r="B16" s="42">
        <f>累计利润调整表!B78/10000</f>
        <v>72941.818897</v>
      </c>
      <c r="C16" s="42">
        <f>累计利润调整表!C78/10000</f>
        <v>1377.77066390505</v>
      </c>
      <c r="D16" s="42">
        <f>累计利润调整表!D78/10000</f>
        <v>17802.5539251378</v>
      </c>
      <c r="E16" s="42">
        <f>累计利润调整表!E78/10000</f>
        <v>36535.0240047925</v>
      </c>
      <c r="F16" s="42">
        <f>累计利润调整表!F78/10000</f>
        <v>1671.477393</v>
      </c>
      <c r="G16" s="42">
        <f>累计利润调整表!G78/10000</f>
        <v>647.929006</v>
      </c>
      <c r="H16" s="42">
        <f>累计利润调整表!H78/10000</f>
        <v>426.618442</v>
      </c>
      <c r="I16" s="42">
        <f>累计利润调整表!I78/10000</f>
        <v>533.464188</v>
      </c>
      <c r="J16" s="42">
        <f>累计利润调整表!J78/10000</f>
        <v>711.394763</v>
      </c>
      <c r="K16" s="42">
        <f>累计利润调整表!K78/10000</f>
        <v>2740.46111116463</v>
      </c>
      <c r="L16" s="42">
        <f>累计利润调整表!L78/10000</f>
        <v>357.587964287157</v>
      </c>
      <c r="M16" s="42">
        <f>累计利润调整表!M78/10000</f>
        <v>458.624687518798</v>
      </c>
      <c r="N16" s="42">
        <f>累计利润调整表!N78/10000</f>
        <v>233.115013865801</v>
      </c>
      <c r="O16" s="42">
        <f>累计利润调整表!O78/10000</f>
        <v>797.74348728861</v>
      </c>
      <c r="P16" s="42">
        <f>累计利润调整表!P78/10000</f>
        <v>433.030018972912</v>
      </c>
      <c r="Q16" s="42">
        <f>累计利润调整表!Q78/10000</f>
        <v>460.359939231348</v>
      </c>
      <c r="R16" s="42">
        <f>累计利润调整表!R78/10000</f>
        <v>936.088863</v>
      </c>
      <c r="S16" s="42">
        <f>累计利润调整表!S78/10000</f>
        <v>12814.5317990001</v>
      </c>
      <c r="T16" s="42">
        <f>累计利润调整表!T78/10000</f>
        <v>1169.85787155872</v>
      </c>
      <c r="U16" s="59">
        <f>累计利润调整表!U78/10000</f>
        <v>8537.13875873624</v>
      </c>
      <c r="V16" s="42">
        <f>累计利润调整表!V78/10000</f>
        <v>2296.35402189445</v>
      </c>
      <c r="W16" s="42">
        <f>累计利润调整表!W78/10000</f>
        <v>359.470478810689</v>
      </c>
      <c r="X16" s="42">
        <f>累计利润调整表!X78/10000</f>
        <v>284.740637</v>
      </c>
      <c r="Y16" s="42">
        <f>累计利润调整表!Y78/10000</f>
        <v>67.608911</v>
      </c>
      <c r="Z16" s="42">
        <f>累计利润调整表!Z78/10000</f>
        <v>99.36112</v>
      </c>
      <c r="AA16" s="42">
        <f>累计利润调整表!AA78/10000</f>
        <v>752.681734</v>
      </c>
      <c r="AB16" s="42">
        <f>累计利润调整表!AB78/10000</f>
        <v>837.973739</v>
      </c>
      <c r="AC16" s="42"/>
      <c r="AD16" s="42"/>
      <c r="AE16" s="42"/>
    </row>
    <row r="17" spans="1:31">
      <c r="A17" s="42" t="s">
        <v>65</v>
      </c>
      <c r="B17" s="42">
        <f>累计利润调整表!B79/10000</f>
        <v>574.875472</v>
      </c>
      <c r="C17" s="42">
        <f>累计利润调整表!C79/10000</f>
        <v>0</v>
      </c>
      <c r="D17" s="42">
        <f>累计利润调整表!D79/10000</f>
        <v>183.752333</v>
      </c>
      <c r="E17" s="42">
        <f>累计利润调整表!E79/10000</f>
        <v>391.123139</v>
      </c>
      <c r="F17" s="42">
        <f>累计利润调整表!F79/10000</f>
        <v>0</v>
      </c>
      <c r="G17" s="42">
        <f>累计利润调整表!G79/10000</f>
        <v>0</v>
      </c>
      <c r="H17" s="42">
        <f>累计利润调整表!H79/10000</f>
        <v>0</v>
      </c>
      <c r="I17" s="42">
        <f>累计利润调整表!I79/10000</f>
        <v>0</v>
      </c>
      <c r="J17" s="42">
        <f>累计利润调整表!J79/10000</f>
        <v>0</v>
      </c>
      <c r="K17" s="42">
        <f>累计利润调整表!K79/10000</f>
        <v>0</v>
      </c>
      <c r="L17" s="42">
        <f>累计利润调整表!L79/10000</f>
        <v>0</v>
      </c>
      <c r="M17" s="42">
        <f>累计利润调整表!M79/10000</f>
        <v>0</v>
      </c>
      <c r="N17" s="42">
        <f>累计利润调整表!N79/10000</f>
        <v>0</v>
      </c>
      <c r="O17" s="42">
        <f>累计利润调整表!O79/10000</f>
        <v>0</v>
      </c>
      <c r="P17" s="42">
        <f>累计利润调整表!P79/10000</f>
        <v>0</v>
      </c>
      <c r="Q17" s="42">
        <f>累计利润调整表!Q79/10000</f>
        <v>0</v>
      </c>
      <c r="R17" s="42">
        <f>累计利润调整表!R79/10000</f>
        <v>0</v>
      </c>
      <c r="S17" s="42">
        <f>累计利润调整表!S79/10000</f>
        <v>0</v>
      </c>
      <c r="T17" s="42">
        <f>累计利润调整表!T79/10000</f>
        <v>0</v>
      </c>
      <c r="U17" s="42">
        <f>累计利润调整表!U79/10000</f>
        <v>0</v>
      </c>
      <c r="V17" s="42">
        <f>累计利润调整表!V79/10000</f>
        <v>0</v>
      </c>
      <c r="W17" s="42">
        <f>累计利润调整表!W79/10000</f>
        <v>0</v>
      </c>
      <c r="X17" s="42">
        <f>累计利润调整表!X79/10000</f>
        <v>0</v>
      </c>
      <c r="Y17" s="42">
        <f>累计利润调整表!Y79/10000</f>
        <v>0</v>
      </c>
      <c r="Z17" s="42">
        <f>累计利润调整表!Z79/10000</f>
        <v>0</v>
      </c>
      <c r="AA17" s="42">
        <f>累计利润调整表!AA79/10000</f>
        <v>0</v>
      </c>
      <c r="AB17" s="42">
        <f>累计利润调整表!AB79/10000</f>
        <v>0</v>
      </c>
      <c r="AC17" s="42"/>
      <c r="AD17" s="42"/>
      <c r="AE17" s="42"/>
    </row>
    <row r="18" spans="1:31">
      <c r="A18" s="42" t="s">
        <v>66</v>
      </c>
      <c r="B18" s="42">
        <f>累计利润调整表!B80/10000</f>
        <v>426.393061</v>
      </c>
      <c r="C18" s="42">
        <f>累计利润调整表!C80/10000</f>
        <v>0</v>
      </c>
      <c r="D18" s="42">
        <f>累计利润调整表!D80/10000</f>
        <v>0</v>
      </c>
      <c r="E18" s="42">
        <f>累计利润调整表!E80/10000</f>
        <v>426.393061</v>
      </c>
      <c r="F18" s="42">
        <f>累计利润调整表!F80/10000</f>
        <v>0</v>
      </c>
      <c r="G18" s="42">
        <f>累计利润调整表!G80/10000</f>
        <v>0</v>
      </c>
      <c r="H18" s="42">
        <f>累计利润调整表!H80/10000</f>
        <v>0</v>
      </c>
      <c r="I18" s="42">
        <f>累计利润调整表!I80/10000</f>
        <v>0</v>
      </c>
      <c r="J18" s="42">
        <f>累计利润调整表!J80/10000</f>
        <v>0</v>
      </c>
      <c r="K18" s="42">
        <f>累计利润调整表!K80/10000</f>
        <v>0</v>
      </c>
      <c r="L18" s="42">
        <f>累计利润调整表!L80/10000</f>
        <v>0</v>
      </c>
      <c r="M18" s="42">
        <f>累计利润调整表!M80/10000</f>
        <v>0</v>
      </c>
      <c r="N18" s="42">
        <f>累计利润调整表!N80/10000</f>
        <v>0</v>
      </c>
      <c r="O18" s="42">
        <f>累计利润调整表!O80/10000</f>
        <v>0</v>
      </c>
      <c r="P18" s="42">
        <f>累计利润调整表!P80/10000</f>
        <v>0</v>
      </c>
      <c r="Q18" s="42">
        <f>累计利润调整表!Q80/10000</f>
        <v>0</v>
      </c>
      <c r="R18" s="42">
        <f>累计利润调整表!R80/10000</f>
        <v>0</v>
      </c>
      <c r="S18" s="42">
        <f>累计利润调整表!S80/10000</f>
        <v>0</v>
      </c>
      <c r="T18" s="42">
        <f>累计利润调整表!T80/10000</f>
        <v>0</v>
      </c>
      <c r="U18" s="42">
        <f>累计利润调整表!U80/10000</f>
        <v>0</v>
      </c>
      <c r="V18" s="42">
        <f>累计利润调整表!V80/10000</f>
        <v>0</v>
      </c>
      <c r="W18" s="42">
        <f>累计利润调整表!W80/10000</f>
        <v>0</v>
      </c>
      <c r="X18" s="42">
        <f>累计利润调整表!X80/10000</f>
        <v>0</v>
      </c>
      <c r="Y18" s="42">
        <f>累计利润调整表!Y80/10000</f>
        <v>0</v>
      </c>
      <c r="Z18" s="42">
        <f>累计利润调整表!Z80/10000</f>
        <v>0</v>
      </c>
      <c r="AA18" s="42">
        <f>累计利润调整表!AA80/10000</f>
        <v>0</v>
      </c>
      <c r="AB18" s="42">
        <f>累计利润调整表!AB80/10000</f>
        <v>0</v>
      </c>
      <c r="AC18" s="42"/>
      <c r="AD18" s="42"/>
      <c r="AE18" s="42"/>
    </row>
    <row r="19" spans="1:31">
      <c r="A19" s="44" t="s">
        <v>47</v>
      </c>
      <c r="B19" s="45">
        <f>累计利润调整表!B81/10000</f>
        <v>29395.406022</v>
      </c>
      <c r="C19" s="45">
        <f>累计利润调整表!C81/10000</f>
        <v>2784.93938473646</v>
      </c>
      <c r="D19" s="45">
        <f>累计利润调整表!D81/10000</f>
        <v>-44505.7340391279</v>
      </c>
      <c r="E19" s="45">
        <f>累计利润调整表!E81/10000</f>
        <v>61837.3971028642</v>
      </c>
      <c r="F19" s="45">
        <f>累计利润调整表!F81/10000</f>
        <v>-27103.9871850566</v>
      </c>
      <c r="G19" s="45">
        <f>累计利润调整表!G81/10000</f>
        <v>1696.10812353208</v>
      </c>
      <c r="H19" s="45">
        <f>累计利润调整表!H81/10000</f>
        <v>-26738.1819900566</v>
      </c>
      <c r="I19" s="45">
        <f>累计利润调整表!I81/10000</f>
        <v>1074.289864</v>
      </c>
      <c r="J19" s="45">
        <f>累计利润调整表!J81/10000</f>
        <v>-1440.095059</v>
      </c>
      <c r="K19" s="45">
        <f>累计利润调整表!K81/10000</f>
        <v>18554.0883791354</v>
      </c>
      <c r="L19" s="45">
        <f>累计利润调整表!L81/10000</f>
        <v>5137.14881171284</v>
      </c>
      <c r="M19" s="45">
        <f>累计利润调整表!M81/10000</f>
        <v>3277.6681117812</v>
      </c>
      <c r="N19" s="45">
        <f>累计利润调整表!N81/10000</f>
        <v>320.477929134199</v>
      </c>
      <c r="O19" s="45">
        <f>累计利润调整表!O81/10000</f>
        <v>7603.14662171139</v>
      </c>
      <c r="P19" s="45">
        <f>累计利润调整表!P81/10000</f>
        <v>2349.37446202709</v>
      </c>
      <c r="Q19" s="45">
        <f>累计利润调整表!Q81/10000</f>
        <v>-133.727557231348</v>
      </c>
      <c r="R19" s="45">
        <f>累计利润调整表!R81/10000</f>
        <v>-931.83352</v>
      </c>
      <c r="S19" s="45">
        <f>累计利润调整表!S81/10000</f>
        <v>17828.7023794485</v>
      </c>
      <c r="T19" s="45">
        <f>累计利润调整表!T81/10000</f>
        <v>939.465392384675</v>
      </c>
      <c r="U19" s="45">
        <f>累计利润调整表!U81/10000</f>
        <v>16644.9929381023</v>
      </c>
      <c r="V19" s="45">
        <f>累计利润调整表!V81/10000</f>
        <v>709.219837772213</v>
      </c>
      <c r="W19" s="45">
        <f>累计利润调整表!W81/10000</f>
        <v>-13.3343308106887</v>
      </c>
      <c r="X19" s="45">
        <f>累计利润调整表!X81/10000</f>
        <v>-284.682568</v>
      </c>
      <c r="Y19" s="45">
        <f>累计利润调整表!Y81/10000</f>
        <v>-67.59777</v>
      </c>
      <c r="Z19" s="45">
        <f>累计利润调整表!Z81/10000</f>
        <v>-99.36112</v>
      </c>
      <c r="AA19" s="45">
        <f>累计利润调整表!AA81/10000</f>
        <v>-751.921697</v>
      </c>
      <c r="AB19" s="45">
        <f>累计利润调整表!AB81/10000</f>
        <v>-837.778794</v>
      </c>
      <c r="AC19" s="45"/>
      <c r="AD19" s="45"/>
      <c r="AE19" s="45"/>
    </row>
    <row r="20" spans="1:31">
      <c r="A20" s="42" t="s">
        <v>67</v>
      </c>
      <c r="B20" s="42">
        <f>累计利润调整表!B82/10000</f>
        <v>551.498633</v>
      </c>
      <c r="C20" s="42">
        <f>累计利润调整表!C82/10000</f>
        <v>66.642188</v>
      </c>
      <c r="D20" s="42">
        <f>累计利润调整表!D82/10000</f>
        <v>415.516379</v>
      </c>
      <c r="E20" s="42">
        <f>累计利润调整表!E82/10000</f>
        <v>69.340066</v>
      </c>
      <c r="F20" s="42">
        <f>累计利润调整表!F82/10000</f>
        <v>0</v>
      </c>
      <c r="G20" s="42">
        <f>累计利润调整表!G82/10000</f>
        <v>1.029096</v>
      </c>
      <c r="H20" s="42">
        <f>累计利润调整表!H82/10000</f>
        <v>0</v>
      </c>
      <c r="I20" s="42">
        <f>累计利润调整表!I82/10000</f>
        <v>0</v>
      </c>
      <c r="J20" s="42">
        <f>累计利润调整表!J82/10000</f>
        <v>0</v>
      </c>
      <c r="K20" s="42">
        <f>累计利润调整表!K82/10000</f>
        <v>0</v>
      </c>
      <c r="L20" s="42">
        <f>累计利润调整表!L82/10000</f>
        <v>0</v>
      </c>
      <c r="M20" s="42">
        <f>累计利润调整表!M82/10000</f>
        <v>0</v>
      </c>
      <c r="N20" s="42">
        <f>累计利润调整表!N82/10000</f>
        <v>0</v>
      </c>
      <c r="O20" s="42">
        <f>累计利润调整表!O82/10000</f>
        <v>0</v>
      </c>
      <c r="P20" s="42">
        <f>累计利润调整表!P82/10000</f>
        <v>0</v>
      </c>
      <c r="Q20" s="42">
        <f>累计利润调整表!Q82/10000</f>
        <v>0</v>
      </c>
      <c r="R20" s="42">
        <f>累计利润调整表!R82/10000</f>
        <v>0.214593</v>
      </c>
      <c r="S20" s="42">
        <f>累计利润调整表!S82/10000</f>
        <v>0</v>
      </c>
      <c r="T20" s="42">
        <f>累计利润调整表!T82/10000</f>
        <v>0</v>
      </c>
      <c r="U20" s="42">
        <f>累计利润调整表!U82/10000</f>
        <v>0</v>
      </c>
      <c r="V20" s="42">
        <f>累计利润调整表!V82/10000</f>
        <v>0</v>
      </c>
      <c r="W20" s="42">
        <f>累计利润调整表!W82/10000</f>
        <v>0</v>
      </c>
      <c r="X20" s="42">
        <f>累计利润调整表!X82/10000</f>
        <v>0</v>
      </c>
      <c r="Y20" s="42">
        <f>累计利润调整表!Y82/10000</f>
        <v>0</v>
      </c>
      <c r="Z20" s="42">
        <f>累计利润调整表!Z82/10000</f>
        <v>0</v>
      </c>
      <c r="AA20" s="42">
        <f>累计利润调整表!AA82/10000</f>
        <v>0</v>
      </c>
      <c r="AB20" s="42">
        <f>累计利润调整表!AB82/10000</f>
        <v>0</v>
      </c>
      <c r="AC20" s="42"/>
      <c r="AD20" s="42"/>
      <c r="AE20" s="42"/>
    </row>
    <row r="21" spans="1:31">
      <c r="A21" s="42" t="s">
        <v>68</v>
      </c>
      <c r="B21" s="42">
        <f>累计利润调整表!B83/10000</f>
        <v>1007.437377</v>
      </c>
      <c r="C21" s="42">
        <f>累计利润调整表!C83/10000</f>
        <v>0</v>
      </c>
      <c r="D21" s="42">
        <f>累计利润调整表!D83/10000</f>
        <v>876.505197</v>
      </c>
      <c r="E21" s="42">
        <f>累计利润调整表!E83/10000</f>
        <v>127.84843</v>
      </c>
      <c r="F21" s="42">
        <f>累计利润调整表!F83/10000</f>
        <v>0.83375</v>
      </c>
      <c r="G21" s="42">
        <f>累计利润调整表!G83/10000</f>
        <v>0</v>
      </c>
      <c r="H21" s="42">
        <f>累计利润调整表!H83/10000</f>
        <v>0</v>
      </c>
      <c r="I21" s="42">
        <f>累计利润调整表!I83/10000</f>
        <v>0.75</v>
      </c>
      <c r="J21" s="42">
        <f>累计利润调整表!J83/10000</f>
        <v>0.08375</v>
      </c>
      <c r="K21" s="42">
        <f>累计利润调整表!K83/10000</f>
        <v>2.25</v>
      </c>
      <c r="L21" s="42">
        <f>累计利润调整表!L83/10000</f>
        <v>0.75</v>
      </c>
      <c r="M21" s="42">
        <f>累计利润调整表!M83/10000</f>
        <v>0.75</v>
      </c>
      <c r="N21" s="42">
        <f>累计利润调整表!N83/10000</f>
        <v>0.75</v>
      </c>
      <c r="O21" s="42">
        <f>累计利润调整表!O83/10000</f>
        <v>0</v>
      </c>
      <c r="P21" s="42">
        <f>累计利润调整表!P83/10000</f>
        <v>0</v>
      </c>
      <c r="Q21" s="42">
        <f>累计利润调整表!Q83/10000</f>
        <v>0</v>
      </c>
      <c r="R21" s="42">
        <f>累计利润调整表!R83/10000</f>
        <v>0.282267</v>
      </c>
      <c r="S21" s="42">
        <f>累计利润调整表!S83/10000</f>
        <v>0</v>
      </c>
      <c r="T21" s="42">
        <f>累计利润调整表!T83/10000</f>
        <v>0</v>
      </c>
      <c r="U21" s="42">
        <f>累计利润调整表!U83/10000</f>
        <v>0</v>
      </c>
      <c r="V21" s="42">
        <f>累计利润调整表!V83/10000</f>
        <v>0</v>
      </c>
      <c r="W21" s="42">
        <f>累计利润调整表!W83/10000</f>
        <v>0</v>
      </c>
      <c r="X21" s="42">
        <f>累计利润调整表!X83/10000</f>
        <v>0</v>
      </c>
      <c r="Y21" s="42">
        <f>累计利润调整表!Y83/10000</f>
        <v>0</v>
      </c>
      <c r="Z21" s="42">
        <f>累计利润调整表!Z83/10000</f>
        <v>0</v>
      </c>
      <c r="AA21" s="42">
        <f>累计利润调整表!AA83/10000</f>
        <v>0</v>
      </c>
      <c r="AB21" s="42">
        <f>累计利润调整表!AB83/10000</f>
        <v>0</v>
      </c>
      <c r="AC21" s="42"/>
      <c r="AD21" s="42"/>
      <c r="AE21" s="42"/>
    </row>
    <row r="22" spans="1:31">
      <c r="A22" s="44" t="s">
        <v>50</v>
      </c>
      <c r="B22" s="45">
        <f>累计利润调整表!B84/10000</f>
        <v>28939.467278</v>
      </c>
      <c r="C22" s="45">
        <f>累计利润调整表!C84/10000</f>
        <v>2851.58157273646</v>
      </c>
      <c r="D22" s="45">
        <f>累计利润调整表!D84/10000</f>
        <v>-44966.7228571279</v>
      </c>
      <c r="E22" s="45">
        <f>累计利润调整表!E84/10000</f>
        <v>61778.8887388641</v>
      </c>
      <c r="F22" s="45">
        <f>累计利润调整表!F84/10000</f>
        <v>-27104.8209350566</v>
      </c>
      <c r="G22" s="45">
        <f>累计利润调整表!G84/10000</f>
        <v>1697.13721953208</v>
      </c>
      <c r="H22" s="45">
        <f>累计利润调整表!H84/10000</f>
        <v>-26738.1819900566</v>
      </c>
      <c r="I22" s="45">
        <f>累计利润调整表!I84/10000</f>
        <v>1073.539864</v>
      </c>
      <c r="J22" s="45">
        <f>累计利润调整表!J84/10000</f>
        <v>-1440.178809</v>
      </c>
      <c r="K22" s="45">
        <f>累计利润调整表!K84/10000</f>
        <v>18551.8383791354</v>
      </c>
      <c r="L22" s="45">
        <f>累计利润调整表!L84/10000</f>
        <v>5136.39881171284</v>
      </c>
      <c r="M22" s="45">
        <f>累计利润调整表!M84/10000</f>
        <v>3276.9181117812</v>
      </c>
      <c r="N22" s="45">
        <f>累计利润调整表!N84/10000</f>
        <v>319.727929134199</v>
      </c>
      <c r="O22" s="45">
        <f>累计利润调整表!O84/10000</f>
        <v>7603.14662171139</v>
      </c>
      <c r="P22" s="45">
        <f>累计利润调整表!P84/10000</f>
        <v>2349.37446202709</v>
      </c>
      <c r="Q22" s="45">
        <f>累计利润调整表!Q84/10000</f>
        <v>-133.727557231348</v>
      </c>
      <c r="R22" s="45">
        <f>累计利润调整表!R84/10000</f>
        <v>-931.901194</v>
      </c>
      <c r="S22" s="45">
        <f>累计利润调整表!S84/10000</f>
        <v>17828.7023794485</v>
      </c>
      <c r="T22" s="45">
        <f>累计利润调整表!T84/10000</f>
        <v>939.465392384675</v>
      </c>
      <c r="U22" s="45">
        <f>累计利润调整表!U84/10000</f>
        <v>16644.9929381023</v>
      </c>
      <c r="V22" s="45">
        <f>累计利润调整表!V84/10000</f>
        <v>709.219837772213</v>
      </c>
      <c r="W22" s="45">
        <f>累计利润调整表!W84/10000</f>
        <v>-13.3343308106887</v>
      </c>
      <c r="X22" s="45">
        <f>累计利润调整表!X84/10000</f>
        <v>-284.682568</v>
      </c>
      <c r="Y22" s="45">
        <f>累计利润调整表!Y84/10000</f>
        <v>-67.59777</v>
      </c>
      <c r="Z22" s="45">
        <f>累计利润调整表!Z84/10000</f>
        <v>-99.36112</v>
      </c>
      <c r="AA22" s="45">
        <f>累计利润调整表!AA84/10000</f>
        <v>-751.921697</v>
      </c>
      <c r="AB22" s="45">
        <f>累计利润调整表!AB84/10000</f>
        <v>-837.778794</v>
      </c>
      <c r="AC22" s="45"/>
      <c r="AD22" s="45"/>
      <c r="AE22" s="45"/>
    </row>
    <row r="23" spans="1:31">
      <c r="A23" s="42" t="s">
        <v>69</v>
      </c>
      <c r="B23" s="42">
        <f>累计利润调整表!B85/10000</f>
        <v>5597.4175745</v>
      </c>
      <c r="C23" s="42">
        <f>累计利润调整表!C85/10000</f>
        <v>-5098.5404825</v>
      </c>
      <c r="D23" s="42">
        <f>累计利润调整表!D85/10000</f>
        <v>10695.878667</v>
      </c>
      <c r="E23" s="42">
        <f>累计利润调整表!E85/10000</f>
        <v>0.07939</v>
      </c>
      <c r="F23" s="42">
        <f>累计利润调整表!F85/10000</f>
        <v>0</v>
      </c>
      <c r="G23" s="42">
        <f>累计利润调整表!G85/10000</f>
        <v>0</v>
      </c>
      <c r="H23" s="42">
        <f>累计利润调整表!H85/10000</f>
        <v>0</v>
      </c>
      <c r="I23" s="42">
        <f>累计利润调整表!I85/10000</f>
        <v>0</v>
      </c>
      <c r="J23" s="42">
        <f>累计利润调整表!J85/10000</f>
        <v>0</v>
      </c>
      <c r="K23" s="42">
        <f>累计利润调整表!K85/10000</f>
        <v>0</v>
      </c>
      <c r="L23" s="42">
        <f>累计利润调整表!L85/10000</f>
        <v>0</v>
      </c>
      <c r="M23" s="42">
        <f>累计利润调整表!M85/10000</f>
        <v>0</v>
      </c>
      <c r="N23" s="42">
        <f>累计利润调整表!N85/10000</f>
        <v>0</v>
      </c>
      <c r="O23" s="42">
        <f>累计利润调整表!O85/10000</f>
        <v>0</v>
      </c>
      <c r="P23" s="42">
        <f>累计利润调整表!P85/10000</f>
        <v>0</v>
      </c>
      <c r="Q23" s="42">
        <f>累计利润调整表!Q85/10000</f>
        <v>0</v>
      </c>
      <c r="R23" s="42">
        <f>累计利润调整表!R85/10000</f>
        <v>0</v>
      </c>
      <c r="S23" s="42">
        <f>累计利润调整表!S85/10000</f>
        <v>0</v>
      </c>
      <c r="T23" s="42">
        <f>累计利润调整表!T85/10000</f>
        <v>0</v>
      </c>
      <c r="U23" s="42">
        <f>累计利润调整表!U85/10000</f>
        <v>0</v>
      </c>
      <c r="V23" s="42">
        <f>累计利润调整表!V85/10000</f>
        <v>0</v>
      </c>
      <c r="W23" s="42">
        <f>累计利润调整表!W85/10000</f>
        <v>0</v>
      </c>
      <c r="X23" s="42">
        <f>累计利润调整表!X85/10000</f>
        <v>0</v>
      </c>
      <c r="Y23" s="42">
        <f>累计利润调整表!Y85/10000</f>
        <v>0</v>
      </c>
      <c r="Z23" s="42">
        <f>累计利润调整表!Z85/10000</f>
        <v>0</v>
      </c>
      <c r="AA23" s="42">
        <f>累计利润调整表!AA85/10000</f>
        <v>0</v>
      </c>
      <c r="AB23" s="42">
        <f>累计利润调整表!AB85/10000</f>
        <v>0</v>
      </c>
      <c r="AC23" s="42"/>
      <c r="AD23" s="42"/>
      <c r="AE23" s="42"/>
    </row>
    <row r="24" spans="1:31">
      <c r="A24" s="44" t="s">
        <v>52</v>
      </c>
      <c r="B24" s="45">
        <f>累计利润调整表!B86/10000</f>
        <v>23342.0497035</v>
      </c>
      <c r="C24" s="45">
        <f>累计利润调整表!C86/10000</f>
        <v>7950.12205523646</v>
      </c>
      <c r="D24" s="45">
        <f>累计利润调整表!D86/10000</f>
        <v>-55662.6015241279</v>
      </c>
      <c r="E24" s="45">
        <f>累计利润调整表!E86/10000</f>
        <v>61778.8093488642</v>
      </c>
      <c r="F24" s="45">
        <f>累计利润调整表!F86/10000</f>
        <v>-27104.8209350566</v>
      </c>
      <c r="G24" s="45">
        <f>累计利润调整表!G86/10000</f>
        <v>1697.13721953208</v>
      </c>
      <c r="H24" s="45">
        <f>累计利润调整表!H86/10000</f>
        <v>-26738.1819900566</v>
      </c>
      <c r="I24" s="45">
        <f>累计利润调整表!I86/10000</f>
        <v>1073.539864</v>
      </c>
      <c r="J24" s="45">
        <f>累计利润调整表!J86/10000</f>
        <v>-1440.178809</v>
      </c>
      <c r="K24" s="45">
        <f>累计利润调整表!K86/10000</f>
        <v>18551.8383791354</v>
      </c>
      <c r="L24" s="45">
        <f>累计利润调整表!L86/10000</f>
        <v>5136.39881171284</v>
      </c>
      <c r="M24" s="45">
        <f>累计利润调整表!M86/10000</f>
        <v>3276.9181117812</v>
      </c>
      <c r="N24" s="45">
        <f>累计利润调整表!N86/10000</f>
        <v>319.727929134199</v>
      </c>
      <c r="O24" s="45">
        <f>累计利润调整表!O86/10000</f>
        <v>7603.14662171139</v>
      </c>
      <c r="P24" s="45">
        <f>累计利润调整表!P86/10000</f>
        <v>2349.37446202709</v>
      </c>
      <c r="Q24" s="45">
        <f>累计利润调整表!Q86/10000</f>
        <v>-133.727557231348</v>
      </c>
      <c r="R24" s="45">
        <f>累计利润调整表!R86/10000</f>
        <v>-931.901194</v>
      </c>
      <c r="S24" s="45">
        <f>累计利润调整表!S86/10000</f>
        <v>17828.7023794485</v>
      </c>
      <c r="T24" s="45">
        <f>累计利润调整表!T86/10000</f>
        <v>939.465392384675</v>
      </c>
      <c r="U24" s="45">
        <f>累计利润调整表!U86/10000</f>
        <v>16644.9929381023</v>
      </c>
      <c r="V24" s="45">
        <f>累计利润调整表!V86/10000</f>
        <v>709.219837772213</v>
      </c>
      <c r="W24" s="45">
        <f>累计利润调整表!W86/10000</f>
        <v>-13.3343308106887</v>
      </c>
      <c r="X24" s="45">
        <f>累计利润调整表!X86/10000</f>
        <v>-284.682568</v>
      </c>
      <c r="Y24" s="45">
        <f>累计利润调整表!Y86/10000</f>
        <v>-67.59777</v>
      </c>
      <c r="Z24" s="45">
        <f>累计利润调整表!Z86/10000</f>
        <v>-99.36112</v>
      </c>
      <c r="AA24" s="45">
        <f>累计利润调整表!AA86/10000</f>
        <v>-751.921697</v>
      </c>
      <c r="AB24" s="45">
        <f>累计利润调整表!AB86/10000</f>
        <v>-837.778794</v>
      </c>
      <c r="AC24" s="45"/>
      <c r="AD24" s="45"/>
      <c r="AE24" s="45"/>
    </row>
    <row r="25" spans="1:31">
      <c r="A25" s="46" t="s">
        <v>53</v>
      </c>
      <c r="B25" s="47">
        <f>累计利润调整表!B87/10000</f>
        <v>0</v>
      </c>
      <c r="C25" s="47">
        <f>累计利润调整表!C87/10000</f>
        <v>0</v>
      </c>
      <c r="D25" s="47">
        <f>累计利润调整表!D87/10000</f>
        <v>0</v>
      </c>
      <c r="E25" s="47">
        <f>累计利润调整表!E87/10000</f>
        <v>0</v>
      </c>
      <c r="F25" s="47">
        <f>累计利润调整表!F87/10000</f>
        <v>0</v>
      </c>
      <c r="G25" s="47">
        <f>累计利润调整表!G87/10000</f>
        <v>0</v>
      </c>
      <c r="H25" s="47">
        <f>累计利润调整表!H87/10000</f>
        <v>0</v>
      </c>
      <c r="I25" s="47">
        <f>累计利润调整表!I87/10000</f>
        <v>0</v>
      </c>
      <c r="J25" s="47">
        <f>累计利润调整表!J87/10000</f>
        <v>0</v>
      </c>
      <c r="K25" s="47">
        <f>累计利润调整表!K87/10000</f>
        <v>0</v>
      </c>
      <c r="L25" s="47">
        <f>累计利润调整表!L87/10000</f>
        <v>0</v>
      </c>
      <c r="M25" s="47">
        <f>累计利润调整表!M87/10000</f>
        <v>0</v>
      </c>
      <c r="N25" s="47">
        <f>累计利润调整表!N87/10000</f>
        <v>0</v>
      </c>
      <c r="O25" s="47">
        <f>累计利润调整表!O87/10000</f>
        <v>0</v>
      </c>
      <c r="P25" s="47">
        <f>累计利润调整表!P87/10000</f>
        <v>0</v>
      </c>
      <c r="Q25" s="47">
        <f>累计利润调整表!Q87/10000</f>
        <v>0</v>
      </c>
      <c r="R25" s="47">
        <f>累计利润调整表!R87/10000</f>
        <v>0</v>
      </c>
      <c r="S25" s="47">
        <f>累计利润调整表!S87/10000</f>
        <v>0</v>
      </c>
      <c r="T25" s="47">
        <f>累计利润调整表!T87/10000</f>
        <v>0</v>
      </c>
      <c r="U25" s="47">
        <f>累计利润调整表!U87/10000</f>
        <v>0</v>
      </c>
      <c r="V25" s="47">
        <f>累计利润调整表!V87/10000</f>
        <v>0</v>
      </c>
      <c r="W25" s="47">
        <f>累计利润调整表!W87/10000</f>
        <v>0</v>
      </c>
      <c r="X25" s="47">
        <f>累计利润调整表!X87/10000</f>
        <v>0</v>
      </c>
      <c r="Y25" s="47">
        <f>累计利润调整表!Y87/10000</f>
        <v>0</v>
      </c>
      <c r="Z25" s="47">
        <f>累计利润调整表!Z87/10000</f>
        <v>0</v>
      </c>
      <c r="AA25" s="47">
        <f>累计利润调整表!AA87/10000</f>
        <v>0</v>
      </c>
      <c r="AB25" s="47">
        <f>累计利润调整表!AB87/10000</f>
        <v>0</v>
      </c>
      <c r="AC25" s="47"/>
      <c r="AD25" s="47"/>
      <c r="AE25" s="47"/>
    </row>
    <row r="26" ht="14.25" spans="1:31">
      <c r="A26" s="48" t="s">
        <v>54</v>
      </c>
      <c r="B26" s="49">
        <f>累计利润调整表!B88/10000</f>
        <v>23342.0497035</v>
      </c>
      <c r="C26" s="49">
        <f>累计利润调整表!C88/10000</f>
        <v>7950.12205523646</v>
      </c>
      <c r="D26" s="49">
        <f>累计利润调整表!D88/10000</f>
        <v>-55662.6015241279</v>
      </c>
      <c r="E26" s="49">
        <f>累计利润调整表!E88/10000</f>
        <v>61778.8093488641</v>
      </c>
      <c r="F26" s="49">
        <f>累计利润调整表!F88/10000</f>
        <v>-27104.8209350566</v>
      </c>
      <c r="G26" s="49">
        <f>累计利润调整表!G88/10000</f>
        <v>1697.13721953208</v>
      </c>
      <c r="H26" s="49">
        <f>累计利润调整表!H88/10000</f>
        <v>-26738.1819900566</v>
      </c>
      <c r="I26" s="49">
        <f>累计利润调整表!I88/10000</f>
        <v>1073.539864</v>
      </c>
      <c r="J26" s="49">
        <f>累计利润调整表!J88/10000</f>
        <v>-1440.178809</v>
      </c>
      <c r="K26" s="49">
        <f>累计利润调整表!K88/10000</f>
        <v>18551.8383791354</v>
      </c>
      <c r="L26" s="49">
        <f>累计利润调整表!L88/10000</f>
        <v>5136.39881171284</v>
      </c>
      <c r="M26" s="49">
        <f>累计利润调整表!M88/10000</f>
        <v>3276.9181117812</v>
      </c>
      <c r="N26" s="49">
        <f>累计利润调整表!N88/10000</f>
        <v>319.727929134199</v>
      </c>
      <c r="O26" s="49">
        <f>累计利润调整表!O88/10000</f>
        <v>7603.14662171139</v>
      </c>
      <c r="P26" s="49">
        <f>累计利润调整表!P88/10000</f>
        <v>2349.37446202709</v>
      </c>
      <c r="Q26" s="49">
        <f>累计利润调整表!Q88/10000</f>
        <v>-133.727557231348</v>
      </c>
      <c r="R26" s="49">
        <f>累计利润调整表!R88/10000</f>
        <v>-931.901194</v>
      </c>
      <c r="S26" s="49">
        <f>累计利润调整表!S88/10000</f>
        <v>17828.7023794485</v>
      </c>
      <c r="T26" s="49">
        <f>累计利润调整表!T88/10000</f>
        <v>939.465392384675</v>
      </c>
      <c r="U26" s="49">
        <f>累计利润调整表!U88/10000</f>
        <v>16644.9929381023</v>
      </c>
      <c r="V26" s="49">
        <f>累计利润调整表!V88/10000</f>
        <v>709.219837772213</v>
      </c>
      <c r="W26" s="49">
        <f>累计利润调整表!W88/10000</f>
        <v>-13.3343308106887</v>
      </c>
      <c r="X26" s="49">
        <f>累计利润调整表!X88/10000</f>
        <v>-284.682568</v>
      </c>
      <c r="Y26" s="49">
        <f>累计利润调整表!Y88/10000</f>
        <v>-67.59777</v>
      </c>
      <c r="Z26" s="49">
        <f>累计利润调整表!Z88/10000</f>
        <v>-99.36112</v>
      </c>
      <c r="AA26" s="49">
        <f>累计利润调整表!AA88/10000</f>
        <v>-751.921697</v>
      </c>
      <c r="AB26" s="49">
        <f>累计利润调整表!AB88/10000</f>
        <v>-837.778794</v>
      </c>
      <c r="AC26" s="49"/>
      <c r="AD26" s="49"/>
      <c r="AE26" s="49"/>
    </row>
    <row r="27" spans="1:31">
      <c r="A27" s="50"/>
      <c r="B27" s="51">
        <f>累计利润调整表!B89/10000</f>
        <v>0</v>
      </c>
      <c r="C27" s="51">
        <f>累计利润调整表!C89/10000</f>
        <v>0</v>
      </c>
      <c r="D27" s="51">
        <f>累计利润调整表!D89/10000</f>
        <v>0</v>
      </c>
      <c r="E27" s="51">
        <f>累计利润调整表!E89/10000</f>
        <v>0</v>
      </c>
      <c r="F27" s="51">
        <f>累计利润调整表!F89/10000</f>
        <v>0</v>
      </c>
      <c r="G27" s="51">
        <f>累计利润调整表!G89/10000</f>
        <v>0</v>
      </c>
      <c r="H27" s="51">
        <f>累计利润调整表!H89/10000</f>
        <v>0</v>
      </c>
      <c r="I27" s="51">
        <f>累计利润调整表!I89/10000</f>
        <v>0</v>
      </c>
      <c r="J27" s="51">
        <f>累计利润调整表!J89/10000</f>
        <v>0</v>
      </c>
      <c r="K27" s="51">
        <f>累计利润调整表!K89/10000</f>
        <v>0</v>
      </c>
      <c r="L27" s="51">
        <f>累计利润调整表!L89/10000</f>
        <v>0</v>
      </c>
      <c r="M27" s="51">
        <f>累计利润调整表!M89/10000</f>
        <v>0</v>
      </c>
      <c r="N27" s="51">
        <f>累计利润调整表!N89/10000</f>
        <v>0</v>
      </c>
      <c r="O27" s="51">
        <f>累计利润调整表!O89/10000</f>
        <v>0</v>
      </c>
      <c r="P27" s="51">
        <f>累计利润调整表!P89/10000</f>
        <v>0</v>
      </c>
      <c r="Q27" s="51">
        <f>累计利润调整表!Q89/10000</f>
        <v>0</v>
      </c>
      <c r="R27" s="51">
        <f>累计利润调整表!R89/10000</f>
        <v>0</v>
      </c>
      <c r="S27" s="51">
        <f>累计利润调整表!S89/10000</f>
        <v>0</v>
      </c>
      <c r="T27" s="51">
        <f>累计利润调整表!T89/10000</f>
        <v>0</v>
      </c>
      <c r="U27" s="51">
        <f>累计利润调整表!U89/10000</f>
        <v>0</v>
      </c>
      <c r="V27" s="51">
        <f>累计利润调整表!V89/10000</f>
        <v>0</v>
      </c>
      <c r="W27" s="51">
        <f>累计利润调整表!W89/10000</f>
        <v>0</v>
      </c>
      <c r="X27" s="51">
        <f>累计利润调整表!X89/10000</f>
        <v>0</v>
      </c>
      <c r="Y27" s="51">
        <f>累计利润调整表!Y89/10000</f>
        <v>0</v>
      </c>
      <c r="Z27" s="51">
        <f>累计利润调整表!Z89/10000</f>
        <v>0</v>
      </c>
      <c r="AA27" s="51">
        <f>累计利润调整表!AA89/10000</f>
        <v>0</v>
      </c>
      <c r="AB27" s="51">
        <f>累计利润调整表!AB89/10000</f>
        <v>0</v>
      </c>
      <c r="AC27" s="51"/>
      <c r="AD27" s="51"/>
      <c r="AE27" s="51"/>
    </row>
    <row r="28" spans="1:31">
      <c r="A28" s="52" t="s">
        <v>70</v>
      </c>
      <c r="B28" s="53">
        <f>累计利润调整表!B90/10000</f>
        <v>0</v>
      </c>
      <c r="C28" s="53">
        <f>累计利润调整表!C90/10000</f>
        <v>0</v>
      </c>
      <c r="D28" s="53">
        <f>累计利润调整表!D90/10000</f>
        <v>0</v>
      </c>
      <c r="E28" s="53">
        <f>累计利润调整表!E90/10000</f>
        <v>28962.284420524</v>
      </c>
      <c r="F28" s="53">
        <f>累计利润调整表!F90/10000</f>
        <v>5289.0383767</v>
      </c>
      <c r="G28" s="53">
        <f>累计利润调整表!G90/10000</f>
        <v>47.115672344</v>
      </c>
      <c r="H28" s="53">
        <f>累计利润调整表!H90/10000</f>
        <v>3720.615986776</v>
      </c>
      <c r="I28" s="53">
        <f>累计利润调整表!I90/10000</f>
        <v>481.925162472</v>
      </c>
      <c r="J28" s="53">
        <f>累计利润调整表!J90/10000</f>
        <v>1039.381555108</v>
      </c>
      <c r="K28" s="53">
        <f>累计利润调整表!K90/10000</f>
        <v>18843.73889424</v>
      </c>
      <c r="L28" s="53">
        <f>累计利润调整表!L90/10000</f>
        <v>3998.960282564</v>
      </c>
      <c r="M28" s="53">
        <f>累计利润调整表!M90/10000</f>
        <v>4102.960282512</v>
      </c>
      <c r="N28" s="53">
        <f>累计利润调整表!N90/10000</f>
        <v>86.447827388</v>
      </c>
      <c r="O28" s="53">
        <f>累计利润调整表!O90/10000</f>
        <v>8781.262514128</v>
      </c>
      <c r="P28" s="53">
        <f>累计利润调整表!P90/10000</f>
        <v>1597.934439608</v>
      </c>
      <c r="Q28" s="53">
        <f>累计利润调整表!Q90/10000</f>
        <v>276.17354804</v>
      </c>
      <c r="R28" s="53">
        <f>累计利润调整表!R90/10000</f>
        <v>0</v>
      </c>
      <c r="S28" s="53">
        <f>累计利润调整表!S90/10000</f>
        <v>7.603400948</v>
      </c>
      <c r="T28" s="53">
        <f>累计利润调整表!T90/10000</f>
        <v>0</v>
      </c>
      <c r="U28" s="53">
        <f>累计利润调整表!U90/10000</f>
        <v>7.603400948</v>
      </c>
      <c r="V28" s="53">
        <f>累计利润调整表!V90/10000</f>
        <v>0</v>
      </c>
      <c r="W28" s="53">
        <f>累计利润调整表!W90/10000</f>
        <v>0</v>
      </c>
      <c r="X28" s="53">
        <f>累计利润调整表!X90/10000</f>
        <v>0</v>
      </c>
      <c r="Y28" s="53">
        <f>累计利润调整表!Y90/10000</f>
        <v>0</v>
      </c>
      <c r="Z28" s="53">
        <f>累计利润调整表!Z90/10000</f>
        <v>0</v>
      </c>
      <c r="AA28" s="53">
        <f>累计利润调整表!AA90/10000</f>
        <v>0</v>
      </c>
      <c r="AB28" s="53">
        <f>累计利润调整表!AB90/10000</f>
        <v>0</v>
      </c>
      <c r="AC28" s="53"/>
      <c r="AD28" s="53"/>
      <c r="AE28" s="53"/>
    </row>
    <row r="29" ht="14.25" spans="1:31">
      <c r="A29" s="54" t="s">
        <v>76</v>
      </c>
      <c r="B29" s="55">
        <f>B26-B28</f>
        <v>23342.0497035</v>
      </c>
      <c r="C29" s="55">
        <f t="shared" ref="C29:AB29" si="0">C26-C28</f>
        <v>7950.12205523646</v>
      </c>
      <c r="D29" s="55">
        <f t="shared" si="0"/>
        <v>-55662.6015241279</v>
      </c>
      <c r="E29" s="55">
        <f t="shared" si="0"/>
        <v>32816.5249283401</v>
      </c>
      <c r="F29" s="55">
        <f t="shared" si="0"/>
        <v>-32393.8593117566</v>
      </c>
      <c r="G29" s="55">
        <f t="shared" si="0"/>
        <v>1650.02154718808</v>
      </c>
      <c r="H29" s="55">
        <f t="shared" si="0"/>
        <v>-30458.7979768326</v>
      </c>
      <c r="I29" s="55">
        <f t="shared" si="0"/>
        <v>591.614701528</v>
      </c>
      <c r="J29" s="55">
        <f t="shared" si="0"/>
        <v>-2479.560364108</v>
      </c>
      <c r="K29" s="55">
        <f t="shared" si="0"/>
        <v>-291.900515104629</v>
      </c>
      <c r="L29" s="55">
        <f t="shared" si="0"/>
        <v>1137.43852914884</v>
      </c>
      <c r="M29" s="55">
        <f t="shared" si="0"/>
        <v>-826.042170730796</v>
      </c>
      <c r="N29" s="55">
        <f t="shared" si="0"/>
        <v>233.280101746199</v>
      </c>
      <c r="O29" s="55">
        <f t="shared" si="0"/>
        <v>-1178.11589241661</v>
      </c>
      <c r="P29" s="55">
        <f t="shared" si="0"/>
        <v>751.440022419088</v>
      </c>
      <c r="Q29" s="55">
        <f t="shared" si="0"/>
        <v>-409.901105271348</v>
      </c>
      <c r="R29" s="55">
        <f t="shared" si="0"/>
        <v>-931.901194</v>
      </c>
      <c r="S29" s="55">
        <f t="shared" si="0"/>
        <v>17821.0989785005</v>
      </c>
      <c r="T29" s="55">
        <f t="shared" si="0"/>
        <v>939.465392384675</v>
      </c>
      <c r="U29" s="55">
        <f t="shared" si="0"/>
        <v>16637.3895371543</v>
      </c>
      <c r="V29" s="55">
        <f t="shared" si="0"/>
        <v>709.219837772213</v>
      </c>
      <c r="W29" s="55">
        <f t="shared" si="0"/>
        <v>-13.3343308106887</v>
      </c>
      <c r="X29" s="55">
        <f t="shared" si="0"/>
        <v>-284.682568</v>
      </c>
      <c r="Y29" s="55">
        <f t="shared" si="0"/>
        <v>-67.59777</v>
      </c>
      <c r="Z29" s="55">
        <f t="shared" si="0"/>
        <v>-99.36112</v>
      </c>
      <c r="AA29" s="55">
        <f t="shared" si="0"/>
        <v>-751.921697</v>
      </c>
      <c r="AB29" s="55">
        <f t="shared" si="0"/>
        <v>-837.778794</v>
      </c>
      <c r="AC29" s="55"/>
      <c r="AD29" s="55"/>
      <c r="AE29" s="55"/>
    </row>
    <row r="31" ht="14.25" spans="1:2">
      <c r="A31" s="2"/>
      <c r="B31" s="56" t="s">
        <v>74</v>
      </c>
    </row>
    <row r="32" s="2" customFormat="1" spans="1:32">
      <c r="A32" s="27" t="s">
        <v>90</v>
      </c>
      <c r="B32" s="28" t="str">
        <f>累计考核费用!C107</f>
        <v>合计</v>
      </c>
      <c r="C32" s="28" t="str">
        <f>累计考核费用!D107</f>
        <v>其他</v>
      </c>
      <c r="D32" s="28" t="str">
        <f>累计考核费用!E107</f>
        <v>总部中后台</v>
      </c>
      <c r="E32" s="28" t="str">
        <f>累计考核费用!F107</f>
        <v>经纪业务部</v>
      </c>
      <c r="F32" s="28" t="str">
        <f>累计考核费用!G107</f>
        <v>资管业务</v>
      </c>
      <c r="G32" s="28" t="str">
        <f>累计考核费用!H107</f>
        <v>资产管理部</v>
      </c>
      <c r="H32" s="28" t="str">
        <f>累计考核费用!I107</f>
        <v>权益产品投资部</v>
      </c>
      <c r="I32" s="28" t="str">
        <f>累计考核费用!J107</f>
        <v>固收产品投资部</v>
      </c>
      <c r="J32" s="28" t="str">
        <f>累计考核费用!K107</f>
        <v>量化产品投资部</v>
      </c>
      <c r="K32" s="28" t="str">
        <f>累计考核费用!L107</f>
        <v>深分公司合计</v>
      </c>
      <c r="L32" s="28" t="str">
        <f>累计考核费用!M107</f>
        <v>固定收益投资部</v>
      </c>
      <c r="M32" s="28" t="str">
        <f>累计考核费用!N107</f>
        <v>固定收益市场部</v>
      </c>
      <c r="N32" s="28" t="str">
        <f>累计考核费用!O107</f>
        <v>投顾业务部</v>
      </c>
      <c r="O32" s="28" t="str">
        <f>累计考核费用!P107</f>
        <v>证券投资部</v>
      </c>
      <c r="P32" s="28" t="str">
        <f>累计考核费用!Q107</f>
        <v>做市业务部</v>
      </c>
      <c r="Q32" s="28" t="str">
        <f>累计考核费用!R107</f>
        <v>金融衍生品部</v>
      </c>
      <c r="R32" s="28" t="str">
        <f>累计考核费用!S107</f>
        <v>深圳管理部</v>
      </c>
      <c r="S32" s="28" t="str">
        <f>累计考核费用!T107</f>
        <v>投资银行合计</v>
      </c>
      <c r="T32" s="28" t="str">
        <f>累计考核费用!U107</f>
        <v>投资银行三部</v>
      </c>
      <c r="U32" s="28" t="str">
        <f>累计考核费用!V107</f>
        <v>投资银行一部</v>
      </c>
      <c r="V32" s="28" t="str">
        <f>累计考核费用!W107</f>
        <v>投资银行二部</v>
      </c>
      <c r="W32" s="28" t="str">
        <f>累计考核费用!X107</f>
        <v>投资银行四部</v>
      </c>
      <c r="X32" s="28" t="str">
        <f>累计考核费用!Y107</f>
        <v>投资银行北京一部</v>
      </c>
      <c r="Y32" s="28" t="str">
        <f>累计考核费用!Z107</f>
        <v>投资银行北京二部</v>
      </c>
      <c r="Z32" s="28" t="str">
        <f>累计考核费用!AA107</f>
        <v>投资银行深圳一部（筹）</v>
      </c>
      <c r="AA32" s="28" t="str">
        <f>累计考核费用!AB107</f>
        <v>投资银行管理部</v>
      </c>
      <c r="AB32" s="28" t="str">
        <f>累计考核费用!AC107</f>
        <v>运营管理部</v>
      </c>
      <c r="AC32" s="28">
        <f>累计考核费用!AD107</f>
        <v>0</v>
      </c>
      <c r="AD32" s="28">
        <f>累计考核费用!AE107</f>
        <v>0</v>
      </c>
      <c r="AE32" s="28"/>
      <c r="AF32" s="60" t="s">
        <v>651</v>
      </c>
    </row>
    <row r="33" s="2" customFormat="1" customHeight="1" spans="1:32">
      <c r="A33" s="57" t="s">
        <v>92</v>
      </c>
      <c r="B33" s="58">
        <f>累计考核费用!C108/10000</f>
        <v>21789.016797</v>
      </c>
      <c r="C33" s="58">
        <f>累计考核费用!D108/10000</f>
        <v>800</v>
      </c>
      <c r="D33" s="58">
        <f>累计考核费用!E108/10000</f>
        <v>6750.570996</v>
      </c>
      <c r="E33" s="58">
        <f>累计考核费用!F108/10000</f>
        <v>9994.070703</v>
      </c>
      <c r="F33" s="58">
        <f>累计考核费用!G108/10000</f>
        <v>702.489544</v>
      </c>
      <c r="G33" s="58">
        <f>累计考核费用!H108/10000</f>
        <v>268.117674</v>
      </c>
      <c r="H33" s="58">
        <f>累计考核费用!I108/10000</f>
        <v>242.417819</v>
      </c>
      <c r="I33" s="58">
        <f>累计考核费用!J108/10000</f>
        <v>155.002523</v>
      </c>
      <c r="J33" s="58">
        <f>累计考核费用!K108/10000</f>
        <v>305.069202</v>
      </c>
      <c r="K33" s="58">
        <f>累计考核费用!L108/10000</f>
        <v>1175.740825</v>
      </c>
      <c r="L33" s="58">
        <f>累计考核费用!M108/10000</f>
        <v>101.546725</v>
      </c>
      <c r="M33" s="58">
        <f>累计考核费用!N108/10000</f>
        <v>181.426333</v>
      </c>
      <c r="N33" s="58">
        <f>累计考核费用!O108/10000</f>
        <v>68.83429</v>
      </c>
      <c r="O33" s="58">
        <f>累计考核费用!P108/10000</f>
        <v>392.272555</v>
      </c>
      <c r="P33" s="58">
        <f>累计考核费用!Q108/10000</f>
        <v>203.354669</v>
      </c>
      <c r="Q33" s="58">
        <f>累计考核费用!R108/10000</f>
        <v>228.306253</v>
      </c>
      <c r="R33" s="58">
        <f>累计考核费用!S108/10000</f>
        <v>175.521919</v>
      </c>
      <c r="S33" s="58">
        <f>累计考核费用!T108/10000</f>
        <v>2366.144729</v>
      </c>
      <c r="T33" s="58">
        <f>累计考核费用!U108/10000</f>
        <v>440.951279</v>
      </c>
      <c r="U33" s="58">
        <f>累计考核费用!V108/10000</f>
        <v>777.843488</v>
      </c>
      <c r="V33" s="58">
        <f>累计考核费用!W108/10000</f>
        <v>816.824107</v>
      </c>
      <c r="W33" s="58">
        <f>累计考核费用!X108/10000</f>
        <v>160.350462</v>
      </c>
      <c r="X33" s="58">
        <f>累计考核费用!Y108/10000</f>
        <v>70.595392</v>
      </c>
      <c r="Y33" s="58">
        <f>累计考核费用!Z108/10000</f>
        <v>31.968241</v>
      </c>
      <c r="Z33" s="58">
        <f>累计考核费用!AA108/10000</f>
        <v>67.61176</v>
      </c>
      <c r="AA33" s="58">
        <f>累计考核费用!AB108/10000</f>
        <v>467.116887</v>
      </c>
      <c r="AB33" s="58">
        <f>累计考核费用!AC108/10000</f>
        <v>418.18671</v>
      </c>
      <c r="AC33" s="58">
        <f>累计考核费用!AD108/10000</f>
        <v>0</v>
      </c>
      <c r="AD33" s="58">
        <f>累计考核费用!AE108/10000</f>
        <v>0</v>
      </c>
      <c r="AE33" s="58"/>
      <c r="AF33" s="2">
        <f>AB33+AA33+G33+D33</f>
        <v>7903.992267</v>
      </c>
    </row>
    <row r="34" s="2" customFormat="1" spans="1:32">
      <c r="A34" s="57" t="s">
        <v>93</v>
      </c>
      <c r="B34" s="58">
        <f>累计考核费用!C109/10000</f>
        <v>375.741506</v>
      </c>
      <c r="C34" s="58">
        <f>累计考核费用!D109/10000</f>
        <v>0</v>
      </c>
      <c r="D34" s="58">
        <f>累计考核费用!E109/10000</f>
        <v>166.181544</v>
      </c>
      <c r="E34" s="58">
        <f>累计考核费用!F109/10000</f>
        <v>147.365251</v>
      </c>
      <c r="F34" s="58">
        <f>累计考核费用!G109/10000</f>
        <v>7.367518</v>
      </c>
      <c r="G34" s="58">
        <f>累计考核费用!H109/10000</f>
        <v>10.322574</v>
      </c>
      <c r="H34" s="58">
        <f>累计考核费用!I109/10000</f>
        <v>6.410708</v>
      </c>
      <c r="I34" s="58">
        <f>累计考核费用!J109/10000</f>
        <v>0.430568</v>
      </c>
      <c r="J34" s="58">
        <f>累计考核费用!K109/10000</f>
        <v>0.526242</v>
      </c>
      <c r="K34" s="58">
        <f>累计考核费用!L109/10000</f>
        <v>5.477213</v>
      </c>
      <c r="L34" s="58">
        <f>累计考核费用!M109/10000</f>
        <v>0.653</v>
      </c>
      <c r="M34" s="58">
        <f>累计考核费用!N109/10000</f>
        <v>0.3395</v>
      </c>
      <c r="N34" s="58">
        <f>累计考核费用!O109/10000</f>
        <v>0.163</v>
      </c>
      <c r="O34" s="58">
        <f>累计考核费用!P109/10000</f>
        <v>2.54826</v>
      </c>
      <c r="P34" s="58">
        <f>累计考核费用!Q109/10000</f>
        <v>1.458367</v>
      </c>
      <c r="Q34" s="58">
        <f>累计考核费用!R109/10000</f>
        <v>0.315086</v>
      </c>
      <c r="R34" s="58">
        <f>累计考核费用!S109/10000</f>
        <v>4.94809</v>
      </c>
      <c r="S34" s="58">
        <f>累计考核费用!T109/10000</f>
        <v>49.34998</v>
      </c>
      <c r="T34" s="58">
        <f>累计考核费用!U109/10000</f>
        <v>11.564341</v>
      </c>
      <c r="U34" s="58">
        <f>累计考核费用!V109/10000</f>
        <v>23.956396</v>
      </c>
      <c r="V34" s="58">
        <f>累计考核费用!W109/10000</f>
        <v>11.739412</v>
      </c>
      <c r="W34" s="58">
        <f>累计考核费用!X109/10000</f>
        <v>2.074212</v>
      </c>
      <c r="X34" s="58">
        <f>累计考核费用!Y109/10000</f>
        <v>0</v>
      </c>
      <c r="Y34" s="58">
        <f>累计考核费用!Z109/10000</f>
        <v>0.015619</v>
      </c>
      <c r="Z34" s="58">
        <f>累计考核费用!AA109/10000</f>
        <v>0</v>
      </c>
      <c r="AA34" s="58">
        <f>累计考核费用!AB109/10000</f>
        <v>17.163986</v>
      </c>
      <c r="AB34" s="58">
        <f>累计考核费用!AC109/10000</f>
        <v>15.797</v>
      </c>
      <c r="AC34" s="58">
        <f>累计考核费用!AD109/10000</f>
        <v>0</v>
      </c>
      <c r="AD34" s="58">
        <f>累计考核费用!AE109/10000</f>
        <v>0</v>
      </c>
      <c r="AE34" s="58"/>
      <c r="AF34" s="2">
        <f t="shared" ref="AF34:AF81" si="1">AB34+AA34+G34+D34</f>
        <v>209.465104</v>
      </c>
    </row>
    <row r="35" s="2" customFormat="1" spans="1:32">
      <c r="A35" s="57" t="s">
        <v>94</v>
      </c>
      <c r="B35" s="58">
        <f>累计考核费用!C110/10000</f>
        <v>703.14091</v>
      </c>
      <c r="C35" s="58">
        <f>累计考核费用!D110/10000</f>
        <v>0</v>
      </c>
      <c r="D35" s="58">
        <f>累计考核费用!E110/10000</f>
        <v>112.436113</v>
      </c>
      <c r="E35" s="58">
        <f>累计考核费用!F110/10000</f>
        <v>347.732694</v>
      </c>
      <c r="F35" s="58">
        <f>累计考核费用!G110/10000</f>
        <v>14.233536</v>
      </c>
      <c r="G35" s="58">
        <f>累计考核费用!H110/10000</f>
        <v>8.878608</v>
      </c>
      <c r="H35" s="58">
        <f>累计考核费用!I110/10000</f>
        <v>4.873597</v>
      </c>
      <c r="I35" s="58">
        <f>累计考核费用!J110/10000</f>
        <v>3.15853</v>
      </c>
      <c r="J35" s="58">
        <f>累计考核费用!K110/10000</f>
        <v>6.201409</v>
      </c>
      <c r="K35" s="58">
        <f>累计考核费用!L110/10000</f>
        <v>23.855294</v>
      </c>
      <c r="L35" s="58">
        <f>累计考核费用!M110/10000</f>
        <v>2.015492</v>
      </c>
      <c r="M35" s="58">
        <f>累计考核费用!N110/10000</f>
        <v>3.710128</v>
      </c>
      <c r="N35" s="58">
        <f>累计考核费用!O110/10000</f>
        <v>1.399365</v>
      </c>
      <c r="O35" s="58">
        <f>累计考核费用!P110/10000</f>
        <v>7.960452</v>
      </c>
      <c r="P35" s="58">
        <f>累计考核费用!Q110/10000</f>
        <v>4.130092</v>
      </c>
      <c r="Q35" s="58">
        <f>累计考核费用!R110/10000</f>
        <v>4.639765</v>
      </c>
      <c r="R35" s="58">
        <f>累计考核费用!S110/10000</f>
        <v>3.549923</v>
      </c>
      <c r="S35" s="58">
        <f>累计考核费用!T110/10000</f>
        <v>204.883273</v>
      </c>
      <c r="T35" s="58">
        <f>累计考核费用!U110/10000</f>
        <v>11.952069</v>
      </c>
      <c r="U35" s="58">
        <f>累计考核费用!V110/10000</f>
        <v>154.494118</v>
      </c>
      <c r="V35" s="58">
        <f>累计考核费用!W110/10000</f>
        <v>32.656375</v>
      </c>
      <c r="W35" s="58">
        <f>累计考核费用!X110/10000</f>
        <v>3.729439</v>
      </c>
      <c r="X35" s="58">
        <f>累计考核费用!Y110/10000</f>
        <v>1.411908</v>
      </c>
      <c r="Y35" s="58">
        <f>累计考核费用!Z110/10000</f>
        <v>0.639364</v>
      </c>
      <c r="Z35" s="58">
        <f>累计考核费用!AA110/10000</f>
        <v>0</v>
      </c>
      <c r="AA35" s="58">
        <f>累计考核费用!AB110/10000</f>
        <v>6.539864</v>
      </c>
      <c r="AB35" s="58">
        <f>累计考核费用!AC110/10000</f>
        <v>8.574468</v>
      </c>
      <c r="AC35" s="58">
        <f>累计考核费用!AD110/10000</f>
        <v>0</v>
      </c>
      <c r="AD35" s="58">
        <f>累计考核费用!AE110/10000</f>
        <v>0</v>
      </c>
      <c r="AE35" s="58"/>
      <c r="AF35" s="2">
        <f t="shared" si="1"/>
        <v>136.429053</v>
      </c>
    </row>
    <row r="36" s="2" customFormat="1" spans="1:32">
      <c r="A36" s="57" t="s">
        <v>95</v>
      </c>
      <c r="B36" s="58">
        <f>累计考核费用!C111/10000</f>
        <v>524.82459</v>
      </c>
      <c r="C36" s="58">
        <f>累计考核费用!D111/10000</f>
        <v>0</v>
      </c>
      <c r="D36" s="58">
        <f>累计考核费用!E111/10000</f>
        <v>90.266709</v>
      </c>
      <c r="E36" s="58">
        <f>累计考核费用!F111/10000</f>
        <v>247.792382</v>
      </c>
      <c r="F36" s="58">
        <f>累计考核费用!G111/10000</f>
        <v>11.521228</v>
      </c>
      <c r="G36" s="58">
        <f>累计考核费用!H111/10000</f>
        <v>6.658956</v>
      </c>
      <c r="H36" s="58">
        <f>累计考核费用!I111/10000</f>
        <v>3.655197</v>
      </c>
      <c r="I36" s="58">
        <f>累计考核费用!J111/10000</f>
        <v>3.214973</v>
      </c>
      <c r="J36" s="58">
        <f>累计考核费用!K111/10000</f>
        <v>4.651058</v>
      </c>
      <c r="K36" s="58">
        <f>累计考核费用!L111/10000</f>
        <v>21.567932</v>
      </c>
      <c r="L36" s="58">
        <f>累计考核费用!M111/10000</f>
        <v>2.354</v>
      </c>
      <c r="M36" s="58">
        <f>累计考核费用!N111/10000</f>
        <v>5.162835</v>
      </c>
      <c r="N36" s="58">
        <f>累计考核费用!O111/10000</f>
        <v>1.503365</v>
      </c>
      <c r="O36" s="58">
        <f>累计考核费用!P111/10000</f>
        <v>5.970338</v>
      </c>
      <c r="P36" s="58">
        <f>累计考核费用!Q111/10000</f>
        <v>3.09757</v>
      </c>
      <c r="Q36" s="58">
        <f>累计考核费用!R111/10000</f>
        <v>3.479824</v>
      </c>
      <c r="R36" s="58">
        <f>累计考核费用!S111/10000</f>
        <v>2.662439</v>
      </c>
      <c r="S36" s="58">
        <f>累计考核费用!T111/10000</f>
        <v>153.676339</v>
      </c>
      <c r="T36" s="58">
        <f>累计考核费用!U111/10000</f>
        <v>8.977936</v>
      </c>
      <c r="U36" s="58">
        <f>累计考核费用!V111/10000</f>
        <v>115.870588</v>
      </c>
      <c r="V36" s="58">
        <f>累计考核费用!W111/10000</f>
        <v>24.133791</v>
      </c>
      <c r="W36" s="58">
        <f>累计考核费用!X111/10000</f>
        <v>2.797079</v>
      </c>
      <c r="X36" s="58">
        <f>累计考核费用!Y111/10000</f>
        <v>1.058931</v>
      </c>
      <c r="Y36" s="58">
        <f>累计考核费用!Z111/10000</f>
        <v>0.479524</v>
      </c>
      <c r="Z36" s="58">
        <f>累计考核费用!AA111/10000</f>
        <v>0.35849</v>
      </c>
      <c r="AA36" s="58">
        <f>累计考核费用!AB111/10000</f>
        <v>6.037062</v>
      </c>
      <c r="AB36" s="58">
        <f>累计考核费用!AC111/10000</f>
        <v>7.542714</v>
      </c>
      <c r="AC36" s="58">
        <f>累计考核费用!AD111/10000</f>
        <v>0</v>
      </c>
      <c r="AD36" s="58">
        <f>累计考核费用!AE111/10000</f>
        <v>0</v>
      </c>
      <c r="AE36" s="58"/>
      <c r="AF36" s="2">
        <f t="shared" si="1"/>
        <v>110.505441</v>
      </c>
    </row>
    <row r="37" s="2" customFormat="1" spans="1:32">
      <c r="A37" s="57" t="s">
        <v>96</v>
      </c>
      <c r="B37" s="58">
        <f>累计考核费用!C112/10000</f>
        <v>6082.330046</v>
      </c>
      <c r="C37" s="58">
        <f>累计考核费用!D112/10000</f>
        <v>0</v>
      </c>
      <c r="D37" s="58">
        <f>累计考核费用!E112/10000</f>
        <v>1808.24122</v>
      </c>
      <c r="E37" s="58">
        <f>累计考核费用!F112/10000</f>
        <v>3115.160378</v>
      </c>
      <c r="F37" s="58">
        <f>累计考核费用!G112/10000</f>
        <v>188.770223</v>
      </c>
      <c r="G37" s="58">
        <f>累计考核费用!H112/10000</f>
        <v>83.571667</v>
      </c>
      <c r="H37" s="58">
        <f>累计考核费用!I112/10000</f>
        <v>81.430343</v>
      </c>
      <c r="I37" s="58">
        <f>累计考核费用!J112/10000</f>
        <v>40.34451</v>
      </c>
      <c r="J37" s="58">
        <f>累计考核费用!K112/10000</f>
        <v>66.99537</v>
      </c>
      <c r="K37" s="58">
        <f>累计考核费用!L112/10000</f>
        <v>260.772757</v>
      </c>
      <c r="L37" s="58">
        <f>累计考核费用!M112/10000</f>
        <v>17.38516</v>
      </c>
      <c r="M37" s="58">
        <f>累计考核费用!N112/10000</f>
        <v>43.954964</v>
      </c>
      <c r="N37" s="58">
        <f>累计考核费用!O112/10000</f>
        <v>13.55752</v>
      </c>
      <c r="O37" s="58">
        <f>累计考核费用!P112/10000</f>
        <v>95.346284</v>
      </c>
      <c r="P37" s="58">
        <f>累计考核费用!Q112/10000</f>
        <v>45.938196</v>
      </c>
      <c r="Q37" s="58">
        <f>累计考核费用!R112/10000</f>
        <v>44.590633</v>
      </c>
      <c r="R37" s="58">
        <f>累计考核费用!S112/10000</f>
        <v>43.745043</v>
      </c>
      <c r="S37" s="58">
        <f>累计考核费用!T112/10000</f>
        <v>709.385468</v>
      </c>
      <c r="T37" s="58">
        <f>累计考核费用!U112/10000</f>
        <v>146.337128</v>
      </c>
      <c r="U37" s="58">
        <f>累计考核费用!V112/10000</f>
        <v>242.179067</v>
      </c>
      <c r="V37" s="58">
        <f>累计考核费用!W112/10000</f>
        <v>219.212024</v>
      </c>
      <c r="W37" s="58">
        <f>累计考核费用!X112/10000</f>
        <v>46.734351</v>
      </c>
      <c r="X37" s="58">
        <f>累计考核费用!Y112/10000</f>
        <v>25.882877</v>
      </c>
      <c r="Y37" s="58">
        <f>累计考核费用!Z112/10000</f>
        <v>14.083466</v>
      </c>
      <c r="Z37" s="58">
        <f>累计考核费用!AA112/10000</f>
        <v>14.956555</v>
      </c>
      <c r="AA37" s="58">
        <f>累计考核费用!AB112/10000</f>
        <v>100.576426</v>
      </c>
      <c r="AB37" s="58">
        <f>累计考核费用!AC112/10000</f>
        <v>155.359099</v>
      </c>
      <c r="AC37" s="58">
        <f>累计考核费用!AD112/10000</f>
        <v>0</v>
      </c>
      <c r="AD37" s="58">
        <f>累计考核费用!AE112/10000</f>
        <v>0</v>
      </c>
      <c r="AE37" s="58"/>
      <c r="AF37" s="2">
        <f t="shared" si="1"/>
        <v>2147.748412</v>
      </c>
    </row>
    <row r="38" s="2" customFormat="1" spans="1:32">
      <c r="A38" s="57" t="s">
        <v>97</v>
      </c>
      <c r="B38" s="58">
        <f>累计考核费用!C113/10000</f>
        <v>35.974437</v>
      </c>
      <c r="C38" s="58">
        <f>累计考核费用!D113/10000</f>
        <v>0</v>
      </c>
      <c r="D38" s="58">
        <f>累计考核费用!E113/10000</f>
        <v>20</v>
      </c>
      <c r="E38" s="58">
        <f>累计考核费用!F113/10000</f>
        <v>11.2749</v>
      </c>
      <c r="F38" s="58">
        <f>累计考核费用!G113/10000</f>
        <v>4.699537</v>
      </c>
      <c r="G38" s="58">
        <f>累计考核费用!H113/10000</f>
        <v>0</v>
      </c>
      <c r="H38" s="58">
        <f>累计考核费用!I113/10000</f>
        <v>0</v>
      </c>
      <c r="I38" s="58">
        <f>累计考核费用!J113/10000</f>
        <v>0</v>
      </c>
      <c r="J38" s="58">
        <f>累计考核费用!K113/10000</f>
        <v>4.699537</v>
      </c>
      <c r="K38" s="58">
        <f>累计考核费用!L113/10000</f>
        <v>0</v>
      </c>
      <c r="L38" s="58">
        <f>累计考核费用!M113/10000</f>
        <v>0</v>
      </c>
      <c r="M38" s="58">
        <f>累计考核费用!N113/10000</f>
        <v>0</v>
      </c>
      <c r="N38" s="58">
        <f>累计考核费用!O113/10000</f>
        <v>0</v>
      </c>
      <c r="O38" s="58">
        <f>累计考核费用!P113/10000</f>
        <v>0</v>
      </c>
      <c r="P38" s="58">
        <f>累计考核费用!Q113/10000</f>
        <v>0</v>
      </c>
      <c r="Q38" s="58">
        <f>累计考核费用!R113/10000</f>
        <v>0</v>
      </c>
      <c r="R38" s="58">
        <f>累计考核费用!S113/10000</f>
        <v>0</v>
      </c>
      <c r="S38" s="58">
        <f>累计考核费用!T113/10000</f>
        <v>0</v>
      </c>
      <c r="T38" s="58">
        <f>累计考核费用!U113/10000</f>
        <v>0</v>
      </c>
      <c r="U38" s="58">
        <f>累计考核费用!V113/10000</f>
        <v>0</v>
      </c>
      <c r="V38" s="58">
        <f>累计考核费用!W113/10000</f>
        <v>0</v>
      </c>
      <c r="W38" s="58">
        <f>累计考核费用!X113/10000</f>
        <v>0</v>
      </c>
      <c r="X38" s="58">
        <f>累计考核费用!Y113/10000</f>
        <v>0</v>
      </c>
      <c r="Y38" s="58">
        <f>累计考核费用!Z113/10000</f>
        <v>0</v>
      </c>
      <c r="Z38" s="58">
        <f>累计考核费用!AA113/10000</f>
        <v>0</v>
      </c>
      <c r="AA38" s="58">
        <f>累计考核费用!AB113/10000</f>
        <v>0</v>
      </c>
      <c r="AB38" s="58">
        <f>累计考核费用!AC113/10000</f>
        <v>0</v>
      </c>
      <c r="AC38" s="58">
        <f>累计考核费用!AD113/10000</f>
        <v>0</v>
      </c>
      <c r="AD38" s="58">
        <f>累计考核费用!AE113/10000</f>
        <v>0</v>
      </c>
      <c r="AE38" s="58"/>
      <c r="AF38" s="2">
        <f t="shared" si="1"/>
        <v>20</v>
      </c>
    </row>
    <row r="39" s="2" customFormat="1" spans="1:32">
      <c r="A39" s="57" t="s">
        <v>98</v>
      </c>
      <c r="B39" s="58">
        <f>累计考核费用!C114/10000</f>
        <v>429.833856</v>
      </c>
      <c r="C39" s="58">
        <f>累计考核费用!D114/10000</f>
        <v>0</v>
      </c>
      <c r="D39" s="58">
        <f>累计考核费用!E114/10000</f>
        <v>112.900546</v>
      </c>
      <c r="E39" s="58">
        <f>累计考核费用!F114/10000</f>
        <v>272.901061</v>
      </c>
      <c r="F39" s="58">
        <f>累计考核费用!G114/10000</f>
        <v>6.893418</v>
      </c>
      <c r="G39" s="58">
        <f>累计考核费用!H114/10000</f>
        <v>6.310192</v>
      </c>
      <c r="H39" s="58">
        <f>累计考核费用!I114/10000</f>
        <v>3.675897</v>
      </c>
      <c r="I39" s="58">
        <f>累计考核费用!J114/10000</f>
        <v>1.077265</v>
      </c>
      <c r="J39" s="58">
        <f>累计考核费用!K114/10000</f>
        <v>2.140256</v>
      </c>
      <c r="K39" s="58">
        <f>累计考核费用!L114/10000</f>
        <v>10.821025</v>
      </c>
      <c r="L39" s="58">
        <f>累计考核费用!M114/10000</f>
        <v>1.346581</v>
      </c>
      <c r="M39" s="58">
        <f>累计考核费用!N114/10000</f>
        <v>2.472222</v>
      </c>
      <c r="N39" s="58">
        <f>累计考核费用!O114/10000</f>
        <v>1.077265</v>
      </c>
      <c r="O39" s="58">
        <f>累计考核费用!P114/10000</f>
        <v>3.231795</v>
      </c>
      <c r="P39" s="58">
        <f>累计考核费用!Q114/10000</f>
        <v>1.077265</v>
      </c>
      <c r="Q39" s="58">
        <f>累计考核费用!R114/10000</f>
        <v>1.615897</v>
      </c>
      <c r="R39" s="58">
        <f>累计考核费用!S114/10000</f>
        <v>3.850683</v>
      </c>
      <c r="S39" s="58">
        <f>累计考核费用!T114/10000</f>
        <v>26.317806</v>
      </c>
      <c r="T39" s="58">
        <f>累计考核费用!U114/10000</f>
        <v>7.843789</v>
      </c>
      <c r="U39" s="58">
        <f>累计考核费用!V114/10000</f>
        <v>11.755385</v>
      </c>
      <c r="V39" s="58">
        <f>累计考核费用!W114/10000</f>
        <v>4.564102</v>
      </c>
      <c r="W39" s="58">
        <f>累计考核费用!X114/10000</f>
        <v>2.15453</v>
      </c>
      <c r="X39" s="58">
        <f>累计考核费用!Y114/10000</f>
        <v>0</v>
      </c>
      <c r="Y39" s="58">
        <f>累计考核费用!Z114/10000</f>
        <v>0</v>
      </c>
      <c r="Z39" s="58">
        <f>累计考核费用!AA114/10000</f>
        <v>0</v>
      </c>
      <c r="AA39" s="58">
        <f>累计考核费用!AB114/10000</f>
        <v>5.830427</v>
      </c>
      <c r="AB39" s="58">
        <f>累计考核费用!AC114/10000</f>
        <v>16.490712</v>
      </c>
      <c r="AC39" s="58">
        <f>累计考核费用!AD114/10000</f>
        <v>0</v>
      </c>
      <c r="AD39" s="58">
        <f>累计考核费用!AE114/10000</f>
        <v>0</v>
      </c>
      <c r="AE39" s="58"/>
      <c r="AF39" s="2">
        <f t="shared" si="1"/>
        <v>141.531877</v>
      </c>
    </row>
    <row r="40" s="2" customFormat="1" spans="1:32">
      <c r="A40" s="57" t="s">
        <v>99</v>
      </c>
      <c r="B40" s="58">
        <f>累计考核费用!C115/10000</f>
        <v>273.088759</v>
      </c>
      <c r="C40" s="58">
        <f>累计考核费用!D115/10000</f>
        <v>0</v>
      </c>
      <c r="D40" s="58">
        <f>累计考核费用!E115/10000</f>
        <v>64.700828</v>
      </c>
      <c r="E40" s="58">
        <f>累计考核费用!F115/10000</f>
        <v>182.516621</v>
      </c>
      <c r="F40" s="58">
        <f>累计考核费用!G115/10000</f>
        <v>9.18731</v>
      </c>
      <c r="G40" s="58">
        <f>累计考核费用!H115/10000</f>
        <v>2.612</v>
      </c>
      <c r="H40" s="58">
        <f>累计考核费用!I115/10000</f>
        <v>1.262</v>
      </c>
      <c r="I40" s="58">
        <f>累计考核费用!J115/10000</f>
        <v>2.924</v>
      </c>
      <c r="J40" s="58">
        <f>累计考核费用!K115/10000</f>
        <v>5.00131</v>
      </c>
      <c r="K40" s="58">
        <f>累计考核费用!L115/10000</f>
        <v>16.684</v>
      </c>
      <c r="L40" s="58">
        <f>累计考核费用!M115/10000</f>
        <v>-0.772</v>
      </c>
      <c r="M40" s="58">
        <f>累计考核费用!N115/10000</f>
        <v>4.08</v>
      </c>
      <c r="N40" s="58">
        <f>累计考核费用!O115/10000</f>
        <v>1.134</v>
      </c>
      <c r="O40" s="58">
        <f>累计考核费用!P115/10000</f>
        <v>5.75</v>
      </c>
      <c r="P40" s="58">
        <f>累计考核费用!Q115/10000</f>
        <v>3.15</v>
      </c>
      <c r="Q40" s="58">
        <f>累计考核费用!R115/10000</f>
        <v>3.342</v>
      </c>
      <c r="R40" s="58">
        <f>累计考核费用!S115/10000</f>
        <v>1.974</v>
      </c>
      <c r="S40" s="58">
        <f>累计考核费用!T115/10000</f>
        <v>0</v>
      </c>
      <c r="T40" s="58">
        <f>累计考核费用!U115/10000</f>
        <v>0</v>
      </c>
      <c r="U40" s="58">
        <f>累计考核费用!V115/10000</f>
        <v>0</v>
      </c>
      <c r="V40" s="58">
        <f>累计考核费用!W115/10000</f>
        <v>0</v>
      </c>
      <c r="W40" s="58">
        <f>累计考核费用!X115/10000</f>
        <v>0</v>
      </c>
      <c r="X40" s="58">
        <f>累计考核费用!Y115/10000</f>
        <v>0</v>
      </c>
      <c r="Y40" s="58">
        <f>累计考核费用!Z115/10000</f>
        <v>0</v>
      </c>
      <c r="Z40" s="58">
        <f>累计考核费用!AA115/10000</f>
        <v>0</v>
      </c>
      <c r="AA40" s="58">
        <f>累计考核费用!AB115/10000</f>
        <v>0</v>
      </c>
      <c r="AB40" s="58">
        <f>累计考核费用!AC115/10000</f>
        <v>10.536828</v>
      </c>
      <c r="AC40" s="58">
        <f>累计考核费用!AD115/10000</f>
        <v>0</v>
      </c>
      <c r="AD40" s="58">
        <f>累计考核费用!AE115/10000</f>
        <v>0</v>
      </c>
      <c r="AE40" s="58"/>
      <c r="AF40" s="2">
        <f t="shared" si="1"/>
        <v>77.849656</v>
      </c>
    </row>
    <row r="41" s="2" customFormat="1" spans="1:32">
      <c r="A41" s="57" t="s">
        <v>100</v>
      </c>
      <c r="B41" s="58">
        <f>累计考核费用!C116/10000</f>
        <v>418.414038</v>
      </c>
      <c r="C41" s="58">
        <f>累计考核费用!D116/10000</f>
        <v>0</v>
      </c>
      <c r="D41" s="58">
        <f>累计考核费用!E116/10000</f>
        <v>327.804276</v>
      </c>
      <c r="E41" s="58">
        <f>累计考核费用!F116/10000</f>
        <v>90.609762</v>
      </c>
      <c r="F41" s="58">
        <f>累计考核费用!G116/10000</f>
        <v>0</v>
      </c>
      <c r="G41" s="58">
        <f>累计考核费用!H116/10000</f>
        <v>0</v>
      </c>
      <c r="H41" s="58">
        <f>累计考核费用!I116/10000</f>
        <v>0</v>
      </c>
      <c r="I41" s="58">
        <f>累计考核费用!J116/10000</f>
        <v>0</v>
      </c>
      <c r="J41" s="58">
        <f>累计考核费用!K116/10000</f>
        <v>0</v>
      </c>
      <c r="K41" s="58">
        <f>累计考核费用!L116/10000</f>
        <v>0</v>
      </c>
      <c r="L41" s="58">
        <f>累计考核费用!M116/10000</f>
        <v>0</v>
      </c>
      <c r="M41" s="58">
        <f>累计考核费用!N116/10000</f>
        <v>0</v>
      </c>
      <c r="N41" s="58">
        <f>累计考核费用!O116/10000</f>
        <v>0</v>
      </c>
      <c r="O41" s="58">
        <f>累计考核费用!P116/10000</f>
        <v>0</v>
      </c>
      <c r="P41" s="58">
        <f>累计考核费用!Q116/10000</f>
        <v>0</v>
      </c>
      <c r="Q41" s="58">
        <f>累计考核费用!R116/10000</f>
        <v>0</v>
      </c>
      <c r="R41" s="58">
        <f>累计考核费用!S116/10000</f>
        <v>41.740687</v>
      </c>
      <c r="S41" s="58">
        <f>累计考核费用!T116/10000</f>
        <v>0</v>
      </c>
      <c r="T41" s="58">
        <f>累计考核费用!U116/10000</f>
        <v>0</v>
      </c>
      <c r="U41" s="58">
        <f>累计考核费用!V116/10000</f>
        <v>0</v>
      </c>
      <c r="V41" s="58">
        <f>累计考核费用!W116/10000</f>
        <v>0</v>
      </c>
      <c r="W41" s="58">
        <f>累计考核费用!X116/10000</f>
        <v>0</v>
      </c>
      <c r="X41" s="58">
        <f>累计考核费用!Y116/10000</f>
        <v>0</v>
      </c>
      <c r="Y41" s="58">
        <f>累计考核费用!Z116/10000</f>
        <v>0</v>
      </c>
      <c r="Z41" s="58">
        <f>累计考核费用!AA116/10000</f>
        <v>0</v>
      </c>
      <c r="AA41" s="58">
        <f>累计考核费用!AB116/10000</f>
        <v>13.134948</v>
      </c>
      <c r="AB41" s="58">
        <f>累计考核费用!AC116/10000</f>
        <v>115.913396</v>
      </c>
      <c r="AC41" s="58">
        <f>累计考核费用!AD116/10000</f>
        <v>0</v>
      </c>
      <c r="AD41" s="58">
        <f>累计考核费用!AE116/10000</f>
        <v>0</v>
      </c>
      <c r="AE41" s="58"/>
      <c r="AF41" s="2">
        <f t="shared" si="1"/>
        <v>456.85262</v>
      </c>
    </row>
    <row r="42" s="2" customFormat="1" spans="1:32">
      <c r="A42" s="57" t="s">
        <v>101</v>
      </c>
      <c r="B42" s="58">
        <f>累计考核费用!C117/10000</f>
        <v>1871.745908</v>
      </c>
      <c r="C42" s="58">
        <f>累计考核费用!D117/10000</f>
        <v>-678.254092</v>
      </c>
      <c r="D42" s="58">
        <f>累计考核费用!E117/10000</f>
        <v>2550</v>
      </c>
      <c r="E42" s="58">
        <f>累计考核费用!F117/10000</f>
        <v>0</v>
      </c>
      <c r="F42" s="58">
        <f>累计考核费用!G117/10000</f>
        <v>0</v>
      </c>
      <c r="G42" s="58">
        <f>累计考核费用!H117/10000</f>
        <v>0</v>
      </c>
      <c r="H42" s="58">
        <f>累计考核费用!I117/10000</f>
        <v>0</v>
      </c>
      <c r="I42" s="58">
        <f>累计考核费用!J117/10000</f>
        <v>0</v>
      </c>
      <c r="J42" s="58">
        <f>累计考核费用!K117/10000</f>
        <v>0</v>
      </c>
      <c r="K42" s="58">
        <f>累计考核费用!L117/10000</f>
        <v>0</v>
      </c>
      <c r="L42" s="58">
        <f>累计考核费用!M117/10000</f>
        <v>0</v>
      </c>
      <c r="M42" s="58">
        <f>累计考核费用!N117/10000</f>
        <v>0</v>
      </c>
      <c r="N42" s="58">
        <f>累计考核费用!O117/10000</f>
        <v>0</v>
      </c>
      <c r="O42" s="58">
        <f>累计考核费用!P117/10000</f>
        <v>0</v>
      </c>
      <c r="P42" s="58">
        <f>累计考核费用!Q117/10000</f>
        <v>0</v>
      </c>
      <c r="Q42" s="58">
        <f>累计考核费用!R117/10000</f>
        <v>0</v>
      </c>
      <c r="R42" s="58">
        <f>累计考核费用!S117/10000</f>
        <v>0</v>
      </c>
      <c r="S42" s="58">
        <f>累计考核费用!T117/10000</f>
        <v>0</v>
      </c>
      <c r="T42" s="58">
        <f>累计考核费用!U117/10000</f>
        <v>0</v>
      </c>
      <c r="U42" s="58">
        <f>累计考核费用!V117/10000</f>
        <v>0</v>
      </c>
      <c r="V42" s="58">
        <f>累计考核费用!W117/10000</f>
        <v>0</v>
      </c>
      <c r="W42" s="58">
        <f>累计考核费用!X117/10000</f>
        <v>0</v>
      </c>
      <c r="X42" s="58">
        <f>累计考核费用!Y117/10000</f>
        <v>0</v>
      </c>
      <c r="Y42" s="58">
        <f>累计考核费用!Z117/10000</f>
        <v>0</v>
      </c>
      <c r="Z42" s="58">
        <f>累计考核费用!AA117/10000</f>
        <v>0</v>
      </c>
      <c r="AA42" s="58">
        <f>累计考核费用!AB117/10000</f>
        <v>0</v>
      </c>
      <c r="AB42" s="58">
        <f>累计考核费用!AC117/10000</f>
        <v>0</v>
      </c>
      <c r="AC42" s="58">
        <f>累计考核费用!AD117/10000</f>
        <v>0</v>
      </c>
      <c r="AD42" s="58">
        <f>累计考核费用!AE117/10000</f>
        <v>0</v>
      </c>
      <c r="AE42" s="58"/>
      <c r="AF42" s="2">
        <f t="shared" si="1"/>
        <v>2550</v>
      </c>
    </row>
    <row r="43" s="2" customFormat="1" ht="14.25" spans="1:32">
      <c r="A43" s="55" t="s">
        <v>102</v>
      </c>
      <c r="B43" s="58">
        <f>累计考核费用!C118/10000</f>
        <v>32504.110847</v>
      </c>
      <c r="C43" s="58">
        <f>累计考核费用!D118/10000</f>
        <v>121.745908</v>
      </c>
      <c r="D43" s="58">
        <f>累计考核费用!E118/10000</f>
        <v>12003.102232</v>
      </c>
      <c r="E43" s="58">
        <f>累计考核费用!F118/10000</f>
        <v>14409.423752</v>
      </c>
      <c r="F43" s="58">
        <f>累计考核费用!G118/10000</f>
        <v>945.162314</v>
      </c>
      <c r="G43" s="58">
        <f>累计考核费用!H118/10000</f>
        <v>386.471671</v>
      </c>
      <c r="H43" s="58">
        <f>累计考核费用!I118/10000</f>
        <v>343.725561</v>
      </c>
      <c r="I43" s="58">
        <f>累计考核费用!J118/10000</f>
        <v>206.152369</v>
      </c>
      <c r="J43" s="58">
        <f>累计考核费用!K118/10000</f>
        <v>395.284384</v>
      </c>
      <c r="K43" s="58">
        <f>累计考核费用!L118/10000</f>
        <v>1514.919046</v>
      </c>
      <c r="L43" s="58">
        <f>累计考核费用!M118/10000</f>
        <v>124.528958</v>
      </c>
      <c r="M43" s="58">
        <f>累计考核费用!N118/10000</f>
        <v>241.145982</v>
      </c>
      <c r="N43" s="58">
        <f>累计考核费用!O118/10000</f>
        <v>87.668805</v>
      </c>
      <c r="O43" s="58">
        <f>累计考核费用!P118/10000</f>
        <v>513.079684</v>
      </c>
      <c r="P43" s="58">
        <f>累计考核费用!Q118/10000</f>
        <v>262.206159</v>
      </c>
      <c r="Q43" s="58">
        <f>累计考核费用!R118/10000</f>
        <v>286.289458</v>
      </c>
      <c r="R43" s="58">
        <f>累计考核费用!S118/10000</f>
        <v>277.992784</v>
      </c>
      <c r="S43" s="58">
        <f>累计考核费用!T118/10000</f>
        <v>3509.757595</v>
      </c>
      <c r="T43" s="58">
        <f>累计考核费用!U118/10000</f>
        <v>627.626542</v>
      </c>
      <c r="U43" s="58">
        <f>累计考核费用!V118/10000</f>
        <v>1326.099042</v>
      </c>
      <c r="V43" s="58">
        <f>累计考核费用!W118/10000</f>
        <v>1109.129811</v>
      </c>
      <c r="W43" s="58">
        <f>累计考核费用!X118/10000</f>
        <v>217.840073</v>
      </c>
      <c r="X43" s="58">
        <f>累计考核费用!Y118/10000</f>
        <v>98.949108</v>
      </c>
      <c r="Y43" s="58">
        <f>累计考核费用!Z118/10000</f>
        <v>47.186214</v>
      </c>
      <c r="Z43" s="58">
        <f>累计考核费用!AA118/10000</f>
        <v>82.926805</v>
      </c>
      <c r="AA43" s="58">
        <f>累计考核费用!AB118/10000</f>
        <v>616.3996</v>
      </c>
      <c r="AB43" s="58">
        <f>累计考核费用!AC118/10000</f>
        <v>748.400927</v>
      </c>
      <c r="AC43" s="58">
        <f>累计考核费用!AD118/10000</f>
        <v>0</v>
      </c>
      <c r="AD43" s="58">
        <f>累计考核费用!AE118/10000</f>
        <v>0</v>
      </c>
      <c r="AE43" s="58"/>
      <c r="AF43" s="2">
        <f t="shared" si="1"/>
        <v>13754.37443</v>
      </c>
    </row>
    <row r="44" s="2" customFormat="1" spans="1:32">
      <c r="A44" s="57" t="s">
        <v>104</v>
      </c>
      <c r="B44" s="58">
        <f>累计考核费用!C119/10000</f>
        <v>10676.82173</v>
      </c>
      <c r="C44" s="58">
        <f>累计考核费用!D119/10000</f>
        <v>1544.583899</v>
      </c>
      <c r="D44" s="58">
        <f>累计考核费用!E119/10000</f>
        <v>107.517718</v>
      </c>
      <c r="E44" s="58">
        <f>累计考核费用!F119/10000</f>
        <v>2896.399947</v>
      </c>
      <c r="F44" s="58">
        <f>累计考核费用!G119/10000</f>
        <v>270.987452</v>
      </c>
      <c r="G44" s="58">
        <f>累计考核费用!H119/10000</f>
        <v>107.517718</v>
      </c>
      <c r="H44" s="58">
        <f>累计考核费用!I119/10000</f>
        <v>0</v>
      </c>
      <c r="I44" s="58">
        <f>累计考核费用!J119/10000</f>
        <v>178.338202</v>
      </c>
      <c r="J44" s="58">
        <f>累计考核费用!K119/10000</f>
        <v>92.64925</v>
      </c>
      <c r="K44" s="58">
        <f>累计考核费用!L119/10000</f>
        <v>0.34</v>
      </c>
      <c r="L44" s="58">
        <f>累计考核费用!M119/10000</f>
        <v>0</v>
      </c>
      <c r="M44" s="58">
        <f>累计考核费用!N119/10000</f>
        <v>0</v>
      </c>
      <c r="N44" s="58">
        <f>累计考核费用!O119/10000</f>
        <v>0</v>
      </c>
      <c r="O44" s="58">
        <f>累计考核费用!P119/10000</f>
        <v>0</v>
      </c>
      <c r="P44" s="58">
        <f>累计考核费用!Q119/10000</f>
        <v>0</v>
      </c>
      <c r="Q44" s="58">
        <f>累计考核费用!R119/10000</f>
        <v>0.34</v>
      </c>
      <c r="R44" s="58">
        <f>累计考核费用!S119/10000</f>
        <v>0</v>
      </c>
      <c r="S44" s="58">
        <f>累计考核费用!T119/10000</f>
        <v>5856.992714</v>
      </c>
      <c r="T44" s="58">
        <f>累计考核费用!U119/10000</f>
        <v>155.25318</v>
      </c>
      <c r="U44" s="58">
        <f>累计考核费用!V119/10000</f>
        <v>5242.685295</v>
      </c>
      <c r="V44" s="58">
        <f>累计考核费用!W119/10000</f>
        <v>432.932739</v>
      </c>
      <c r="W44" s="58">
        <f>累计考核费用!X119/10000</f>
        <v>26.1215</v>
      </c>
      <c r="X44" s="58">
        <f>累计考核费用!Y119/10000</f>
        <v>0</v>
      </c>
      <c r="Y44" s="58">
        <f>累计考核费用!Z119/10000</f>
        <v>0</v>
      </c>
      <c r="Z44" s="58">
        <f>累计考核费用!AA119/10000</f>
        <v>0</v>
      </c>
      <c r="AA44" s="58">
        <f>累计考核费用!AB119/10000</f>
        <v>0</v>
      </c>
      <c r="AB44" s="58">
        <f>累计考核费用!AC119/10000</f>
        <v>0</v>
      </c>
      <c r="AC44" s="58">
        <f>累计考核费用!AD119/10000</f>
        <v>0</v>
      </c>
      <c r="AD44" s="58">
        <f>累计考核费用!AE119/10000</f>
        <v>0</v>
      </c>
      <c r="AE44" s="58"/>
      <c r="AF44" s="2">
        <f t="shared" si="1"/>
        <v>215.035436</v>
      </c>
    </row>
    <row r="45" s="2" customFormat="1" spans="1:32">
      <c r="A45" s="57" t="s">
        <v>105</v>
      </c>
      <c r="B45" s="58">
        <f>累计考核费用!C120/10000</f>
        <v>6808.763073</v>
      </c>
      <c r="C45" s="58">
        <f>累计考核费用!D120/10000</f>
        <v>564.677583207547</v>
      </c>
      <c r="D45" s="58">
        <f>累计考核费用!E120/10000</f>
        <v>1.323687</v>
      </c>
      <c r="E45" s="58">
        <f>累计考核费用!F120/10000</f>
        <v>5797.40686579245</v>
      </c>
      <c r="F45" s="58">
        <f>累计考核费用!G120/10000</f>
        <v>-0.0606</v>
      </c>
      <c r="G45" s="58">
        <f>累计考核费用!H120/10000</f>
        <v>0</v>
      </c>
      <c r="H45" s="58">
        <f>累计考核费用!I120/10000</f>
        <v>0</v>
      </c>
      <c r="I45" s="58">
        <f>累计考核费用!J120/10000</f>
        <v>0</v>
      </c>
      <c r="J45" s="58">
        <f>累计考核费用!K120/10000</f>
        <v>-0.0606</v>
      </c>
      <c r="K45" s="58">
        <f>累计考核费用!L120/10000</f>
        <v>2</v>
      </c>
      <c r="L45" s="58">
        <f>累计考核费用!M120/10000</f>
        <v>0</v>
      </c>
      <c r="M45" s="58">
        <f>累计考核费用!N120/10000</f>
        <v>2</v>
      </c>
      <c r="N45" s="58">
        <f>累计考核费用!O120/10000</f>
        <v>0</v>
      </c>
      <c r="O45" s="58">
        <f>累计考核费用!P120/10000</f>
        <v>0</v>
      </c>
      <c r="P45" s="58">
        <f>累计考核费用!Q120/10000</f>
        <v>0</v>
      </c>
      <c r="Q45" s="58">
        <f>累计考核费用!R120/10000</f>
        <v>0</v>
      </c>
      <c r="R45" s="58">
        <f>累计考核费用!S120/10000</f>
        <v>0</v>
      </c>
      <c r="S45" s="58">
        <f>累计考核费用!T120/10000</f>
        <v>443.415537</v>
      </c>
      <c r="T45" s="58">
        <f>累计考核费用!U120/10000</f>
        <v>69.0047</v>
      </c>
      <c r="U45" s="58">
        <f>累计考核费用!V120/10000</f>
        <v>79.15371</v>
      </c>
      <c r="V45" s="58">
        <f>累计考核费用!W120/10000</f>
        <v>273.170485</v>
      </c>
      <c r="W45" s="58">
        <f>累计考核费用!X120/10000</f>
        <v>22.086642</v>
      </c>
      <c r="X45" s="58">
        <f>累计考核费用!Y120/10000</f>
        <v>0</v>
      </c>
      <c r="Y45" s="58">
        <f>累计考核费用!Z120/10000</f>
        <v>0</v>
      </c>
      <c r="Z45" s="58">
        <f>累计考核费用!AA120/10000</f>
        <v>0</v>
      </c>
      <c r="AA45" s="58">
        <f>累计考核费用!AB120/10000</f>
        <v>0</v>
      </c>
      <c r="AB45" s="58">
        <f>累计考核费用!AC120/10000</f>
        <v>1.323687</v>
      </c>
      <c r="AC45" s="58">
        <f>累计考核费用!AD120/10000</f>
        <v>0</v>
      </c>
      <c r="AD45" s="58">
        <f>累计考核费用!AE120/10000</f>
        <v>0</v>
      </c>
      <c r="AE45" s="58"/>
      <c r="AF45" s="2">
        <f t="shared" si="1"/>
        <v>2.647374</v>
      </c>
    </row>
    <row r="46" s="2" customFormat="1" spans="1:32">
      <c r="A46" s="57" t="s">
        <v>106</v>
      </c>
      <c r="B46" s="58">
        <f>累计考核费用!C121/10000</f>
        <v>2037.964235</v>
      </c>
      <c r="C46" s="58">
        <f>累计考核费用!D121/10000</f>
        <v>76.7985036975</v>
      </c>
      <c r="D46" s="58">
        <f>累计考核费用!E121/10000</f>
        <v>-453.713816</v>
      </c>
      <c r="E46" s="58">
        <f>累计考核费用!F121/10000</f>
        <v>1659.405287</v>
      </c>
      <c r="F46" s="58">
        <f>累计考核费用!G121/10000</f>
        <v>-69.360289</v>
      </c>
      <c r="G46" s="58">
        <f>累计考核费用!H121/10000</f>
        <v>40.229585</v>
      </c>
      <c r="H46" s="58">
        <f>累计考核费用!I121/10000</f>
        <v>-89.532919</v>
      </c>
      <c r="I46" s="58">
        <f>累计考核费用!J121/10000</f>
        <v>24.49658</v>
      </c>
      <c r="J46" s="58">
        <f>累计考核费用!K121/10000</f>
        <v>-4.32395</v>
      </c>
      <c r="K46" s="58">
        <f>累计考核费用!L121/10000</f>
        <v>314.4227973025</v>
      </c>
      <c r="L46" s="58">
        <f>累计考核费用!M121/10000</f>
        <v>85.799809</v>
      </c>
      <c r="M46" s="58">
        <f>累计考核费用!N121/10000</f>
        <v>62.289673</v>
      </c>
      <c r="N46" s="58">
        <f>累计考核费用!O121/10000</f>
        <v>7.591885</v>
      </c>
      <c r="O46" s="58">
        <f>累计考核费用!P121/10000</f>
        <v>112.54398</v>
      </c>
      <c r="P46" s="58">
        <f>累计考核费用!Q121/10000</f>
        <v>39.422515</v>
      </c>
      <c r="Q46" s="58">
        <f>累计考核费用!R121/10000</f>
        <v>6.7749353025</v>
      </c>
      <c r="R46" s="58">
        <f>累计考核费用!S121/10000</f>
        <v>0.015578</v>
      </c>
      <c r="S46" s="58">
        <f>累计考核费用!T121/10000</f>
        <v>510.411752</v>
      </c>
      <c r="T46" s="58">
        <f>累计考核费用!U121/10000</f>
        <v>34.876178</v>
      </c>
      <c r="U46" s="58">
        <f>累计考核费用!V121/10000</f>
        <v>419.840808</v>
      </c>
      <c r="V46" s="58">
        <f>累计考核费用!W121/10000</f>
        <v>49.990169</v>
      </c>
      <c r="W46" s="58">
        <f>累计考核费用!X121/10000</f>
        <v>5.704597</v>
      </c>
      <c r="X46" s="58">
        <f>累计考核费用!Y121/10000</f>
        <v>0</v>
      </c>
      <c r="Y46" s="58">
        <f>累计考核费用!Z121/10000</f>
        <v>0</v>
      </c>
      <c r="Z46" s="58">
        <f>累计考核费用!AA121/10000</f>
        <v>0</v>
      </c>
      <c r="AA46" s="58">
        <f>累计考核费用!AB121/10000</f>
        <v>-0.0560700000000001</v>
      </c>
      <c r="AB46" s="58">
        <f>累计考核费用!AC121/10000</f>
        <v>0.000299</v>
      </c>
      <c r="AC46" s="58">
        <f>累计考核费用!AD121/10000</f>
        <v>0</v>
      </c>
      <c r="AD46" s="58">
        <f>累计考核费用!AE121/10000</f>
        <v>0</v>
      </c>
      <c r="AE46" s="58"/>
      <c r="AF46" s="2">
        <f t="shared" si="1"/>
        <v>-413.540002</v>
      </c>
    </row>
    <row r="47" s="2" customFormat="1" spans="1:32">
      <c r="A47" s="57" t="s">
        <v>107</v>
      </c>
      <c r="B47" s="58">
        <f>累计考核费用!C122/10000</f>
        <v>73.969923</v>
      </c>
      <c r="C47" s="58">
        <f>累计考核费用!D122/10000</f>
        <v>0</v>
      </c>
      <c r="D47" s="58">
        <f>累计考核费用!E122/10000</f>
        <v>34.89</v>
      </c>
      <c r="E47" s="58">
        <f>累计考核费用!F122/10000</f>
        <v>39.079923</v>
      </c>
      <c r="F47" s="58">
        <f>累计考核费用!G122/10000</f>
        <v>0</v>
      </c>
      <c r="G47" s="58">
        <f>累计考核费用!H122/10000</f>
        <v>0</v>
      </c>
      <c r="H47" s="58">
        <f>累计考核费用!I122/10000</f>
        <v>0</v>
      </c>
      <c r="I47" s="58">
        <f>累计考核费用!J122/10000</f>
        <v>0</v>
      </c>
      <c r="J47" s="58">
        <f>累计考核费用!K122/10000</f>
        <v>0</v>
      </c>
      <c r="K47" s="58">
        <f>累计考核费用!L122/10000</f>
        <v>0</v>
      </c>
      <c r="L47" s="58">
        <f>累计考核费用!M122/10000</f>
        <v>0</v>
      </c>
      <c r="M47" s="58">
        <f>累计考核费用!N122/10000</f>
        <v>0</v>
      </c>
      <c r="N47" s="58">
        <f>累计考核费用!O122/10000</f>
        <v>0</v>
      </c>
      <c r="O47" s="58">
        <f>累计考核费用!P122/10000</f>
        <v>0</v>
      </c>
      <c r="P47" s="58">
        <f>累计考核费用!Q122/10000</f>
        <v>0</v>
      </c>
      <c r="Q47" s="58">
        <f>累计考核费用!R122/10000</f>
        <v>0</v>
      </c>
      <c r="R47" s="58">
        <f>累计考核费用!S122/10000</f>
        <v>0</v>
      </c>
      <c r="S47" s="58">
        <f>累计考核费用!T122/10000</f>
        <v>0</v>
      </c>
      <c r="T47" s="58">
        <f>累计考核费用!U122/10000</f>
        <v>0</v>
      </c>
      <c r="U47" s="58">
        <f>累计考核费用!V122/10000</f>
        <v>0</v>
      </c>
      <c r="V47" s="58">
        <f>累计考核费用!W122/10000</f>
        <v>0</v>
      </c>
      <c r="W47" s="58">
        <f>累计考核费用!X122/10000</f>
        <v>0</v>
      </c>
      <c r="X47" s="58">
        <f>累计考核费用!Y122/10000</f>
        <v>0</v>
      </c>
      <c r="Y47" s="58">
        <f>累计考核费用!Z122/10000</f>
        <v>0</v>
      </c>
      <c r="Z47" s="58">
        <f>累计考核费用!AA122/10000</f>
        <v>0</v>
      </c>
      <c r="AA47" s="58">
        <f>累计考核费用!AB122/10000</f>
        <v>0</v>
      </c>
      <c r="AB47" s="58">
        <f>累计考核费用!AC122/10000</f>
        <v>0</v>
      </c>
      <c r="AC47" s="58">
        <f>累计考核费用!AD122/10000</f>
        <v>0</v>
      </c>
      <c r="AD47" s="58">
        <f>累计考核费用!AE122/10000</f>
        <v>0</v>
      </c>
      <c r="AE47" s="58"/>
      <c r="AF47" s="2">
        <f t="shared" si="1"/>
        <v>34.89</v>
      </c>
    </row>
    <row r="48" s="2" customFormat="1" spans="1:32">
      <c r="A48" s="57" t="s">
        <v>108</v>
      </c>
      <c r="B48" s="58">
        <f>累计考核费用!C123/10000</f>
        <v>1406.954386</v>
      </c>
      <c r="C48" s="58">
        <f>累计考核费用!D123/10000</f>
        <v>0</v>
      </c>
      <c r="D48" s="58">
        <f>累计考核费用!E123/10000</f>
        <v>20.388532</v>
      </c>
      <c r="E48" s="58">
        <f>累计考核费用!F123/10000</f>
        <v>1289.262704</v>
      </c>
      <c r="F48" s="58">
        <f>累计考核费用!G123/10000</f>
        <v>44.221208</v>
      </c>
      <c r="G48" s="58">
        <f>累计考核费用!H123/10000</f>
        <v>20.388532</v>
      </c>
      <c r="H48" s="58">
        <f>累计考核费用!I123/10000</f>
        <v>6</v>
      </c>
      <c r="I48" s="58">
        <f>累计考核费用!J123/10000</f>
        <v>21.205479</v>
      </c>
      <c r="J48" s="58">
        <f>累计考核费用!K123/10000</f>
        <v>17.015729</v>
      </c>
      <c r="K48" s="58">
        <f>累计考核费用!L123/10000</f>
        <v>53.081942</v>
      </c>
      <c r="L48" s="58">
        <f>累计考核费用!M123/10000</f>
        <v>4.833334</v>
      </c>
      <c r="M48" s="58">
        <f>累计考核费用!N123/10000</f>
        <v>4.49371</v>
      </c>
      <c r="N48" s="58">
        <f>累计考核费用!O123/10000</f>
        <v>13.848173</v>
      </c>
      <c r="O48" s="58">
        <f>累计考核费用!P123/10000</f>
        <v>16.310245</v>
      </c>
      <c r="P48" s="58">
        <f>累计考核费用!Q123/10000</f>
        <v>6.030322</v>
      </c>
      <c r="Q48" s="58">
        <f>累计考核费用!R123/10000</f>
        <v>7.566158</v>
      </c>
      <c r="R48" s="58">
        <f>累计考核费用!S123/10000</f>
        <v>0</v>
      </c>
      <c r="S48" s="58">
        <f>累计考核费用!T123/10000</f>
        <v>0</v>
      </c>
      <c r="T48" s="58">
        <f>累计考核费用!U123/10000</f>
        <v>0</v>
      </c>
      <c r="U48" s="58">
        <f>累计考核费用!V123/10000</f>
        <v>0</v>
      </c>
      <c r="V48" s="58">
        <f>累计考核费用!W123/10000</f>
        <v>0</v>
      </c>
      <c r="W48" s="58">
        <f>累计考核费用!X123/10000</f>
        <v>0</v>
      </c>
      <c r="X48" s="58">
        <f>累计考核费用!Y123/10000</f>
        <v>0</v>
      </c>
      <c r="Y48" s="58">
        <f>累计考核费用!Z123/10000</f>
        <v>0</v>
      </c>
      <c r="Z48" s="58">
        <f>累计考核费用!AA123/10000</f>
        <v>0</v>
      </c>
      <c r="AA48" s="58">
        <f>累计考核费用!AB123/10000</f>
        <v>0</v>
      </c>
      <c r="AB48" s="58">
        <f>累计考核费用!AC123/10000</f>
        <v>0</v>
      </c>
      <c r="AC48" s="58">
        <f>累计考核费用!AD123/10000</f>
        <v>0</v>
      </c>
      <c r="AD48" s="58">
        <f>累计考核费用!AE123/10000</f>
        <v>0</v>
      </c>
      <c r="AE48" s="58"/>
      <c r="AF48" s="2">
        <f t="shared" si="1"/>
        <v>40.777064</v>
      </c>
    </row>
    <row r="49" s="2" customFormat="1" ht="14.25" spans="1:32">
      <c r="A49" s="55" t="s">
        <v>102</v>
      </c>
      <c r="B49" s="58">
        <f>累计考核费用!C124/10000</f>
        <v>21004.473347</v>
      </c>
      <c r="C49" s="58">
        <f>累计考核费用!D124/10000</f>
        <v>2186.05998590505</v>
      </c>
      <c r="D49" s="58">
        <f>累计考核费用!E124/10000</f>
        <v>-289.593879</v>
      </c>
      <c r="E49" s="58">
        <f>累计考核费用!F124/10000</f>
        <v>11681.5547267925</v>
      </c>
      <c r="F49" s="58">
        <f>累计考核费用!G124/10000</f>
        <v>245.787771</v>
      </c>
      <c r="G49" s="58">
        <f>累计考核费用!H124/10000</f>
        <v>168.135835</v>
      </c>
      <c r="H49" s="58">
        <f>累计考核费用!I124/10000</f>
        <v>-83.532919</v>
      </c>
      <c r="I49" s="58">
        <f>累计考核费用!J124/10000</f>
        <v>224.040261</v>
      </c>
      <c r="J49" s="58">
        <f>累计考核费用!K124/10000</f>
        <v>105.280429</v>
      </c>
      <c r="K49" s="58">
        <f>累计考核费用!L124/10000</f>
        <v>369.8447393025</v>
      </c>
      <c r="L49" s="58">
        <f>累计考核费用!M124/10000</f>
        <v>90.633143</v>
      </c>
      <c r="M49" s="58">
        <f>累计考核费用!N124/10000</f>
        <v>68.783383</v>
      </c>
      <c r="N49" s="58">
        <f>累计考核费用!O124/10000</f>
        <v>21.440058</v>
      </c>
      <c r="O49" s="58">
        <f>累计考核费用!P124/10000</f>
        <v>128.854225</v>
      </c>
      <c r="P49" s="58">
        <f>累计考核费用!Q124/10000</f>
        <v>45.452837</v>
      </c>
      <c r="Q49" s="58">
        <f>累计考核费用!R124/10000</f>
        <v>14.6810933025</v>
      </c>
      <c r="R49" s="58">
        <f>累计考核费用!S124/10000</f>
        <v>0.015578</v>
      </c>
      <c r="S49" s="58">
        <f>累计考核费用!T124/10000</f>
        <v>6810.820003</v>
      </c>
      <c r="T49" s="58">
        <f>累计考核费用!U124/10000</f>
        <v>259.134058</v>
      </c>
      <c r="U49" s="58">
        <f>累计考核费用!V124/10000</f>
        <v>5741.679813</v>
      </c>
      <c r="V49" s="58">
        <f>累计考核费用!W124/10000</f>
        <v>756.093393</v>
      </c>
      <c r="W49" s="58">
        <f>累计考核费用!X124/10000</f>
        <v>53.912739</v>
      </c>
      <c r="X49" s="58">
        <f>累计考核费用!Y124/10000</f>
        <v>0</v>
      </c>
      <c r="Y49" s="58">
        <f>累计考核费用!Z124/10000</f>
        <v>0</v>
      </c>
      <c r="Z49" s="58">
        <f>累计考核费用!AA124/10000</f>
        <v>0</v>
      </c>
      <c r="AA49" s="58">
        <f>累计考核费用!AB124/10000</f>
        <v>-0.0560700000000001</v>
      </c>
      <c r="AB49" s="58">
        <f>累计考核费用!AC124/10000</f>
        <v>1.323986</v>
      </c>
      <c r="AC49" s="58">
        <f>累计考核费用!AD124/10000</f>
        <v>0</v>
      </c>
      <c r="AD49" s="58">
        <f>累计考核费用!AE124/10000</f>
        <v>0</v>
      </c>
      <c r="AE49" s="58"/>
      <c r="AF49" s="2">
        <f t="shared" si="1"/>
        <v>-120.190128</v>
      </c>
    </row>
    <row r="50" s="2" customFormat="1" spans="1:32">
      <c r="A50" s="57" t="s">
        <v>110</v>
      </c>
      <c r="B50" s="58">
        <f>累计考核费用!C125/10000</f>
        <v>2824.718526</v>
      </c>
      <c r="C50" s="58">
        <f>累计考核费用!D125/10000</f>
        <v>0.5182</v>
      </c>
      <c r="D50" s="58">
        <f>累计考核费用!E125/10000</f>
        <v>348.207618</v>
      </c>
      <c r="E50" s="58">
        <f>累计考核费用!F125/10000</f>
        <v>1363.445172</v>
      </c>
      <c r="F50" s="58">
        <f>累计考核费用!G125/10000</f>
        <v>85.53379</v>
      </c>
      <c r="G50" s="58">
        <f>累计考核费用!H125/10000</f>
        <v>37.215966</v>
      </c>
      <c r="H50" s="58">
        <f>累计考核费用!I125/10000</f>
        <v>43.993108</v>
      </c>
      <c r="I50" s="58">
        <f>累计考核费用!J125/10000</f>
        <v>10.961281</v>
      </c>
      <c r="J50" s="58">
        <f>累计考核费用!K125/10000</f>
        <v>30.579401</v>
      </c>
      <c r="K50" s="58">
        <f>累计考核费用!L125/10000</f>
        <v>115.998153</v>
      </c>
      <c r="L50" s="58">
        <f>累计考核费用!M125/10000</f>
        <v>14.299465</v>
      </c>
      <c r="M50" s="58">
        <f>累计考核费用!N125/10000</f>
        <v>18.440777</v>
      </c>
      <c r="N50" s="58">
        <f>累计考核费用!O125/10000</f>
        <v>16.831315</v>
      </c>
      <c r="O50" s="58">
        <f>累计考核费用!P125/10000</f>
        <v>26.745619</v>
      </c>
      <c r="P50" s="58">
        <f>累计考核费用!Q125/10000</f>
        <v>19.118493</v>
      </c>
      <c r="Q50" s="58">
        <f>累计考核费用!R125/10000</f>
        <v>20.562484</v>
      </c>
      <c r="R50" s="58">
        <f>累计考核费用!S125/10000</f>
        <v>19.835191</v>
      </c>
      <c r="S50" s="58">
        <f>累计考核费用!T125/10000</f>
        <v>911.015593</v>
      </c>
      <c r="T50" s="58">
        <f>累计考核费用!U125/10000</f>
        <v>81.330443</v>
      </c>
      <c r="U50" s="58">
        <f>累计考核费用!V125/10000</f>
        <v>595.102926</v>
      </c>
      <c r="V50" s="58">
        <f>累计考核费用!W125/10000</f>
        <v>152.368397</v>
      </c>
      <c r="W50" s="58">
        <f>累计考核费用!X125/10000</f>
        <v>31.000738</v>
      </c>
      <c r="X50" s="58">
        <f>累计考核费用!Y125/10000</f>
        <v>42.172666</v>
      </c>
      <c r="Y50" s="58">
        <f>累计考核费用!Z125/10000</f>
        <v>3.525856</v>
      </c>
      <c r="Z50" s="58">
        <f>累计考核费用!AA125/10000</f>
        <v>5.514567</v>
      </c>
      <c r="AA50" s="58">
        <f>累计考核费用!AB125/10000</f>
        <v>37.273303</v>
      </c>
      <c r="AB50" s="58">
        <f>累计考核费用!AC125/10000</f>
        <v>21.005729</v>
      </c>
      <c r="AC50" s="58">
        <f>累计考核费用!AD125/10000</f>
        <v>0</v>
      </c>
      <c r="AD50" s="58">
        <f>累计考核费用!AE125/10000</f>
        <v>0</v>
      </c>
      <c r="AE50" s="58"/>
      <c r="AF50" s="2">
        <f t="shared" si="1"/>
        <v>443.702616</v>
      </c>
    </row>
    <row r="51" s="2" customFormat="1" spans="1:32">
      <c r="A51" s="57" t="s">
        <v>111</v>
      </c>
      <c r="B51" s="58">
        <f>累计考核费用!C126/10000</f>
        <v>1730.457067</v>
      </c>
      <c r="C51" s="58">
        <f>累计考核费用!D126/10000</f>
        <v>5.0672</v>
      </c>
      <c r="D51" s="58">
        <f>累计考核费用!E126/10000</f>
        <v>315.5608</v>
      </c>
      <c r="E51" s="58">
        <f>累计考核费用!F126/10000</f>
        <v>318.145369</v>
      </c>
      <c r="F51" s="58">
        <f>累计考核费用!G126/10000</f>
        <v>51.251687</v>
      </c>
      <c r="G51" s="58">
        <f>累计考核费用!H126/10000</f>
        <v>18.465627</v>
      </c>
      <c r="H51" s="58">
        <f>累计考核费用!I126/10000</f>
        <v>23.431183</v>
      </c>
      <c r="I51" s="58">
        <f>累计考核费用!J126/10000</f>
        <v>7.312125</v>
      </c>
      <c r="J51" s="58">
        <f>累计考核费用!K126/10000</f>
        <v>20.508379</v>
      </c>
      <c r="K51" s="58">
        <f>累计考核费用!L126/10000</f>
        <v>93.763935</v>
      </c>
      <c r="L51" s="58">
        <f>累计考核费用!M126/10000</f>
        <v>11.542951</v>
      </c>
      <c r="M51" s="58">
        <f>累计考核费用!N126/10000</f>
        <v>13.015112</v>
      </c>
      <c r="N51" s="58">
        <f>累计考核费用!O126/10000</f>
        <v>13.743514</v>
      </c>
      <c r="O51" s="58">
        <f>累计考核费用!P126/10000</f>
        <v>14.622864</v>
      </c>
      <c r="P51" s="58">
        <f>累计考核费用!Q126/10000</f>
        <v>22.571281</v>
      </c>
      <c r="Q51" s="58">
        <f>累计考核费用!R126/10000</f>
        <v>18.268213</v>
      </c>
      <c r="R51" s="58">
        <f>累计考核费用!S126/10000</f>
        <v>17.446859</v>
      </c>
      <c r="S51" s="58">
        <f>累计考核费用!T126/10000</f>
        <v>946.668076</v>
      </c>
      <c r="T51" s="58">
        <f>累计考核费用!U126/10000</f>
        <v>91.464977</v>
      </c>
      <c r="U51" s="58">
        <f>累计考核费用!V126/10000</f>
        <v>560.564449</v>
      </c>
      <c r="V51" s="58">
        <f>累计考核费用!W126/10000</f>
        <v>148.032555</v>
      </c>
      <c r="W51" s="58">
        <f>累计考核费用!X126/10000</f>
        <v>33.001505</v>
      </c>
      <c r="X51" s="58">
        <f>累计考核费用!Y126/10000</f>
        <v>91.817266</v>
      </c>
      <c r="Y51" s="58">
        <f>累计考核费用!Z126/10000</f>
        <v>10.867576</v>
      </c>
      <c r="Z51" s="58">
        <f>累计考核费用!AA126/10000</f>
        <v>10.919748</v>
      </c>
      <c r="AA51" s="58">
        <f>累计考核费用!AB126/10000</f>
        <v>53.136893</v>
      </c>
      <c r="AB51" s="58">
        <f>累计考核费用!AC126/10000</f>
        <v>8.195288</v>
      </c>
      <c r="AC51" s="58">
        <f>累计考核费用!AD126/10000</f>
        <v>0</v>
      </c>
      <c r="AD51" s="58">
        <f>累计考核费用!AE126/10000</f>
        <v>0</v>
      </c>
      <c r="AE51" s="58"/>
      <c r="AF51" s="2">
        <f t="shared" si="1"/>
        <v>395.358608</v>
      </c>
    </row>
    <row r="52" s="2" customFormat="1" spans="1:32">
      <c r="A52" s="57" t="s">
        <v>112</v>
      </c>
      <c r="B52" s="58">
        <f>累计考核费用!C127/10000</f>
        <v>544.515472</v>
      </c>
      <c r="C52" s="58">
        <f>累计考核费用!D127/10000</f>
        <v>0</v>
      </c>
      <c r="D52" s="58">
        <f>累计考核费用!E127/10000</f>
        <v>176.719007</v>
      </c>
      <c r="E52" s="58">
        <f>累计考核费用!F127/10000</f>
        <v>232.991385</v>
      </c>
      <c r="F52" s="58">
        <f>累计考核费用!G127/10000</f>
        <v>11.304676</v>
      </c>
      <c r="G52" s="58">
        <f>累计考核费用!H127/10000</f>
        <v>11.223965</v>
      </c>
      <c r="H52" s="58">
        <f>累计考核费用!I127/10000</f>
        <v>9.520826</v>
      </c>
      <c r="I52" s="58">
        <f>累计考核费用!J127/10000</f>
        <v>0.78373</v>
      </c>
      <c r="J52" s="58">
        <f>累计考核费用!K127/10000</f>
        <v>1.00012</v>
      </c>
      <c r="K52" s="58">
        <f>累计考核费用!L127/10000</f>
        <v>8.260036</v>
      </c>
      <c r="L52" s="58">
        <f>累计考核费用!M127/10000</f>
        <v>0.77217</v>
      </c>
      <c r="M52" s="58">
        <f>累计考核费用!N127/10000</f>
        <v>1.385379</v>
      </c>
      <c r="N52" s="58">
        <f>累计考核费用!O127/10000</f>
        <v>0.742219</v>
      </c>
      <c r="O52" s="58">
        <f>累计考核费用!P127/10000</f>
        <v>1.791493</v>
      </c>
      <c r="P52" s="58">
        <f>累计考核费用!Q127/10000</f>
        <v>0.976487</v>
      </c>
      <c r="Q52" s="58">
        <f>累计考核费用!R127/10000</f>
        <v>2.592288</v>
      </c>
      <c r="R52" s="58">
        <f>累计考核费用!S127/10000</f>
        <v>0.50586</v>
      </c>
      <c r="S52" s="58">
        <f>累计考核费用!T127/10000</f>
        <v>115.240368</v>
      </c>
      <c r="T52" s="58">
        <f>累计考核费用!U127/10000</f>
        <v>13.909941</v>
      </c>
      <c r="U52" s="58">
        <f>累计考核费用!V127/10000</f>
        <v>70.9392</v>
      </c>
      <c r="V52" s="58">
        <f>累计考核费用!W127/10000</f>
        <v>24.56592</v>
      </c>
      <c r="W52" s="58">
        <f>累计考核费用!X127/10000</f>
        <v>3.313658</v>
      </c>
      <c r="X52" s="58">
        <f>累计考核费用!Y127/10000</f>
        <v>2.394609</v>
      </c>
      <c r="Y52" s="58">
        <f>累计考核费用!Z127/10000</f>
        <v>0.11704</v>
      </c>
      <c r="Z52" s="58">
        <f>累计考核费用!AA127/10000</f>
        <v>0</v>
      </c>
      <c r="AA52" s="58">
        <f>累计考核费用!AB127/10000</f>
        <v>9.892742</v>
      </c>
      <c r="AB52" s="58">
        <f>累计考核费用!AC127/10000</f>
        <v>4.297575</v>
      </c>
      <c r="AC52" s="58">
        <f>累计考核费用!AD127/10000</f>
        <v>0</v>
      </c>
      <c r="AD52" s="58">
        <f>累计考核费用!AE127/10000</f>
        <v>0</v>
      </c>
      <c r="AE52" s="58"/>
      <c r="AF52" s="2">
        <f t="shared" si="1"/>
        <v>202.133289</v>
      </c>
    </row>
    <row r="53" s="2" customFormat="1" spans="1:32">
      <c r="A53" s="57" t="s">
        <v>113</v>
      </c>
      <c r="B53" s="58">
        <f>累计考核费用!C128/10000</f>
        <v>248.462805</v>
      </c>
      <c r="C53" s="58">
        <f>累计考核费用!D128/10000</f>
        <v>0</v>
      </c>
      <c r="D53" s="58">
        <f>累计考核费用!E128/10000</f>
        <v>59.755657</v>
      </c>
      <c r="E53" s="58">
        <f>累计考核费用!F128/10000</f>
        <v>131.799101</v>
      </c>
      <c r="F53" s="58">
        <f>累计考核费用!G128/10000</f>
        <v>2.409414</v>
      </c>
      <c r="G53" s="58">
        <f>累计考核费用!H128/10000</f>
        <v>5.999633</v>
      </c>
      <c r="H53" s="58">
        <f>累计考核费用!I128/10000</f>
        <v>1.311589</v>
      </c>
      <c r="I53" s="58">
        <f>累计考核费用!J128/10000</f>
        <v>0.615223</v>
      </c>
      <c r="J53" s="58">
        <f>累计考核费用!K128/10000</f>
        <v>0.482602</v>
      </c>
      <c r="K53" s="58">
        <f>累计考核费用!L128/10000</f>
        <v>1.694114</v>
      </c>
      <c r="L53" s="58">
        <f>累计考核费用!M128/10000</f>
        <v>0.246631</v>
      </c>
      <c r="M53" s="58">
        <f>累计考核费用!N128/10000</f>
        <v>0.426532</v>
      </c>
      <c r="N53" s="58">
        <f>累计考核费用!O128/10000</f>
        <v>0.246632</v>
      </c>
      <c r="O53" s="58">
        <f>累计考核费用!P128/10000</f>
        <v>0.071745</v>
      </c>
      <c r="P53" s="58">
        <f>累计考核费用!Q128/10000</f>
        <v>0.071976</v>
      </c>
      <c r="Q53" s="58">
        <f>累计考核费用!R128/10000</f>
        <v>0.630598</v>
      </c>
      <c r="R53" s="58">
        <f>累计考核费用!S128/10000</f>
        <v>0.767736</v>
      </c>
      <c r="S53" s="58">
        <f>累计考核费用!T128/10000</f>
        <v>52.804519</v>
      </c>
      <c r="T53" s="58">
        <f>累计考核费用!U128/10000</f>
        <v>4.486964</v>
      </c>
      <c r="U53" s="58">
        <f>累计考核费用!V128/10000</f>
        <v>33.103337</v>
      </c>
      <c r="V53" s="58">
        <f>累计考核费用!W128/10000</f>
        <v>14.036623</v>
      </c>
      <c r="W53" s="58">
        <f>累计考核费用!X128/10000</f>
        <v>1.040795</v>
      </c>
      <c r="X53" s="58">
        <f>累计考核费用!Y128/10000</f>
        <v>0.1368</v>
      </c>
      <c r="Y53" s="58">
        <f>累计考核费用!Z128/10000</f>
        <v>0</v>
      </c>
      <c r="Z53" s="58">
        <f>累计考核费用!AA128/10000</f>
        <v>0</v>
      </c>
      <c r="AA53" s="58">
        <f>累计考核费用!AB128/10000</f>
        <v>4.320891</v>
      </c>
      <c r="AB53" s="58">
        <f>累计考核费用!AC128/10000</f>
        <v>2.837002</v>
      </c>
      <c r="AC53" s="58">
        <f>累计考核费用!AD128/10000</f>
        <v>0</v>
      </c>
      <c r="AD53" s="58">
        <f>累计考核费用!AE128/10000</f>
        <v>0</v>
      </c>
      <c r="AE53" s="58"/>
      <c r="AF53" s="2">
        <f t="shared" si="1"/>
        <v>72.913183</v>
      </c>
    </row>
    <row r="54" s="2" customFormat="1" spans="1:32">
      <c r="A54" s="57" t="s">
        <v>114</v>
      </c>
      <c r="B54" s="58">
        <f>累计考核费用!C129/10000</f>
        <v>551.875013</v>
      </c>
      <c r="C54" s="58">
        <f>累计考核费用!D129/10000</f>
        <v>0</v>
      </c>
      <c r="D54" s="58">
        <f>累计考核费用!E129/10000</f>
        <v>273.23921</v>
      </c>
      <c r="E54" s="58">
        <f>累计考核费用!F129/10000</f>
        <v>278.533916</v>
      </c>
      <c r="F54" s="58">
        <f>累计考核费用!G129/10000</f>
        <v>0</v>
      </c>
      <c r="G54" s="58">
        <f>累计考核费用!H129/10000</f>
        <v>0.012076</v>
      </c>
      <c r="H54" s="58">
        <f>累计考核费用!I129/10000</f>
        <v>0</v>
      </c>
      <c r="I54" s="58">
        <f>累计考核费用!J129/10000</f>
        <v>0</v>
      </c>
      <c r="J54" s="58">
        <f>累计考核费用!K129/10000</f>
        <v>0</v>
      </c>
      <c r="K54" s="58">
        <f>累计考核费用!L129/10000</f>
        <v>0.000755</v>
      </c>
      <c r="L54" s="58">
        <f>累计考核费用!M129/10000</f>
        <v>0</v>
      </c>
      <c r="M54" s="58">
        <f>累计考核费用!N129/10000</f>
        <v>0</v>
      </c>
      <c r="N54" s="58">
        <f>累计考核费用!O129/10000</f>
        <v>0</v>
      </c>
      <c r="O54" s="58">
        <f>累计考核费用!P129/10000</f>
        <v>0.000755</v>
      </c>
      <c r="P54" s="58">
        <f>累计考核费用!Q129/10000</f>
        <v>0</v>
      </c>
      <c r="Q54" s="58">
        <f>累计考核费用!R129/10000</f>
        <v>0</v>
      </c>
      <c r="R54" s="58">
        <f>累计考核费用!S129/10000</f>
        <v>0.113208</v>
      </c>
      <c r="S54" s="58">
        <f>累计考核费用!T129/10000</f>
        <v>0.101132</v>
      </c>
      <c r="T54" s="58">
        <f>累计考核费用!U129/10000</f>
        <v>0.02717</v>
      </c>
      <c r="U54" s="58">
        <f>累计考核费用!V129/10000</f>
        <v>0.038491</v>
      </c>
      <c r="V54" s="58">
        <f>累计考核费用!W129/10000</f>
        <v>0.028679</v>
      </c>
      <c r="W54" s="58">
        <f>累计考核费用!X129/10000</f>
        <v>0.006792</v>
      </c>
      <c r="X54" s="58">
        <f>累计考核费用!Y129/10000</f>
        <v>0</v>
      </c>
      <c r="Y54" s="58">
        <f>累计考核费用!Z129/10000</f>
        <v>0</v>
      </c>
      <c r="Z54" s="58">
        <f>累计考核费用!AA129/10000</f>
        <v>0</v>
      </c>
      <c r="AA54" s="58">
        <f>累计考核费用!AB129/10000</f>
        <v>0.011321</v>
      </c>
      <c r="AB54" s="58">
        <f>累计考核费用!AC129/10000</f>
        <v>0.116075</v>
      </c>
      <c r="AC54" s="58">
        <f>累计考核费用!AD129/10000</f>
        <v>0</v>
      </c>
      <c r="AD54" s="58">
        <f>累计考核费用!AE129/10000</f>
        <v>0</v>
      </c>
      <c r="AE54" s="58"/>
      <c r="AF54" s="2">
        <f t="shared" si="1"/>
        <v>273.378682</v>
      </c>
    </row>
    <row r="55" s="2" customFormat="1" spans="1:32">
      <c r="A55" s="57" t="s">
        <v>115</v>
      </c>
      <c r="B55" s="58">
        <f>累计考核费用!C130/10000</f>
        <v>527.612238</v>
      </c>
      <c r="C55" s="58">
        <f>累计考核费用!D130/10000</f>
        <v>81.553398</v>
      </c>
      <c r="D55" s="58">
        <f>累计考核费用!E130/10000</f>
        <v>114.443119</v>
      </c>
      <c r="E55" s="58">
        <f>累计考核费用!F130/10000</f>
        <v>223.821402</v>
      </c>
      <c r="F55" s="58">
        <f>累计考核费用!G130/10000</f>
        <v>54.952831</v>
      </c>
      <c r="G55" s="58">
        <f>累计考核费用!H130/10000</f>
        <v>1.4592</v>
      </c>
      <c r="H55" s="58">
        <f>累计考核费用!I130/10000</f>
        <v>27.572408</v>
      </c>
      <c r="I55" s="58">
        <f>累计考核费用!J130/10000</f>
        <v>0</v>
      </c>
      <c r="J55" s="58">
        <f>累计考核费用!K130/10000</f>
        <v>27.380423</v>
      </c>
      <c r="K55" s="58">
        <f>累计考核费用!L130/10000</f>
        <v>29.520968</v>
      </c>
      <c r="L55" s="58">
        <f>累计考核费用!M130/10000</f>
        <v>9.823354</v>
      </c>
      <c r="M55" s="58">
        <f>累计考核费用!N130/10000</f>
        <v>5.106374</v>
      </c>
      <c r="N55" s="58">
        <f>累计考核费用!O130/10000</f>
        <v>2.187974</v>
      </c>
      <c r="O55" s="58">
        <f>累计考核费用!P130/10000</f>
        <v>9.155387</v>
      </c>
      <c r="P55" s="58">
        <f>累计考核费用!Q130/10000</f>
        <v>2.412619</v>
      </c>
      <c r="Q55" s="58">
        <f>累计考核费用!R130/10000</f>
        <v>0.83526</v>
      </c>
      <c r="R55" s="58">
        <f>累计考核费用!S130/10000</f>
        <v>0.7296</v>
      </c>
      <c r="S55" s="58">
        <f>累计考核费用!T130/10000</f>
        <v>23.32052</v>
      </c>
      <c r="T55" s="58">
        <f>累计考核费用!U130/10000</f>
        <v>20.40212</v>
      </c>
      <c r="U55" s="58">
        <f>累计考核费用!V130/10000</f>
        <v>1.4592</v>
      </c>
      <c r="V55" s="58">
        <f>累计考核费用!W130/10000</f>
        <v>1.4592</v>
      </c>
      <c r="W55" s="58">
        <f>累计考核费用!X130/10000</f>
        <v>0</v>
      </c>
      <c r="X55" s="58">
        <f>累计考核费用!Y130/10000</f>
        <v>0</v>
      </c>
      <c r="Y55" s="58">
        <f>累计考核费用!Z130/10000</f>
        <v>0</v>
      </c>
      <c r="Z55" s="58">
        <f>累计考核费用!AA130/10000</f>
        <v>0</v>
      </c>
      <c r="AA55" s="58">
        <f>累计考核费用!AB130/10000</f>
        <v>1.4592</v>
      </c>
      <c r="AB55" s="58">
        <f>累计考核费用!AC130/10000</f>
        <v>0</v>
      </c>
      <c r="AC55" s="58">
        <f>累计考核费用!AD130/10000</f>
        <v>0</v>
      </c>
      <c r="AD55" s="58">
        <f>累计考核费用!AE130/10000</f>
        <v>0</v>
      </c>
      <c r="AE55" s="58"/>
      <c r="AF55" s="2">
        <f t="shared" si="1"/>
        <v>117.361519</v>
      </c>
    </row>
    <row r="56" s="2" customFormat="1" spans="1:32">
      <c r="A56" s="57" t="s">
        <v>116</v>
      </c>
      <c r="B56" s="58">
        <f>累计考核费用!C131/10000</f>
        <v>314.781066</v>
      </c>
      <c r="C56" s="58">
        <f>累计考核费用!D131/10000</f>
        <v>0</v>
      </c>
      <c r="D56" s="58">
        <f>累计考核费用!E131/10000</f>
        <v>142.078944</v>
      </c>
      <c r="E56" s="58">
        <f>累计考核费用!F131/10000</f>
        <v>112.039897</v>
      </c>
      <c r="F56" s="58">
        <f>累计考核费用!G131/10000</f>
        <v>6.657418</v>
      </c>
      <c r="G56" s="58">
        <f>累计考核费用!H131/10000</f>
        <v>0</v>
      </c>
      <c r="H56" s="58">
        <f>累计考核费用!I131/10000</f>
        <v>0</v>
      </c>
      <c r="I56" s="58">
        <f>累计考核费用!J131/10000</f>
        <v>6.657418</v>
      </c>
      <c r="J56" s="58">
        <f>累计考核费用!K131/10000</f>
        <v>0</v>
      </c>
      <c r="K56" s="58">
        <f>累计考核费用!L131/10000</f>
        <v>22.547393</v>
      </c>
      <c r="L56" s="58">
        <f>累计考核费用!M131/10000</f>
        <v>6.999547</v>
      </c>
      <c r="M56" s="58">
        <f>累计考核费用!N131/10000</f>
        <v>8.630428</v>
      </c>
      <c r="N56" s="58">
        <f>累计考核费用!O131/10000</f>
        <v>6.917418</v>
      </c>
      <c r="O56" s="58">
        <f>累计考核费用!P131/10000</f>
        <v>0</v>
      </c>
      <c r="P56" s="58">
        <f>累计考核费用!Q131/10000</f>
        <v>0</v>
      </c>
      <c r="Q56" s="58">
        <f>累计考核费用!R131/10000</f>
        <v>0</v>
      </c>
      <c r="R56" s="58">
        <f>累计考核费用!S131/10000</f>
        <v>0</v>
      </c>
      <c r="S56" s="58">
        <f>累计考核费用!T131/10000</f>
        <v>31.457414</v>
      </c>
      <c r="T56" s="58">
        <f>累计考核费用!U131/10000</f>
        <v>5.694235</v>
      </c>
      <c r="U56" s="58">
        <f>累计考核费用!V131/10000</f>
        <v>17.807936</v>
      </c>
      <c r="V56" s="58">
        <f>累计考核费用!W131/10000</f>
        <v>6.531684</v>
      </c>
      <c r="W56" s="58">
        <f>累计考核费用!X131/10000</f>
        <v>1.423559</v>
      </c>
      <c r="X56" s="58">
        <f>累计考核费用!Y131/10000</f>
        <v>0</v>
      </c>
      <c r="Y56" s="58">
        <f>累计考核费用!Z131/10000</f>
        <v>0</v>
      </c>
      <c r="Z56" s="58">
        <f>累计考核费用!AA131/10000</f>
        <v>0</v>
      </c>
      <c r="AA56" s="58">
        <f>累计考核费用!AB131/10000</f>
        <v>3.477351</v>
      </c>
      <c r="AB56" s="58">
        <f>累计考核费用!AC131/10000</f>
        <v>3.729442</v>
      </c>
      <c r="AC56" s="58">
        <f>累计考核费用!AD131/10000</f>
        <v>0</v>
      </c>
      <c r="AD56" s="58">
        <f>累计考核费用!AE131/10000</f>
        <v>0</v>
      </c>
      <c r="AE56" s="58"/>
      <c r="AF56" s="2">
        <f t="shared" si="1"/>
        <v>149.285737</v>
      </c>
    </row>
    <row r="57" s="2" customFormat="1" spans="1:32">
      <c r="A57" s="57" t="s">
        <v>117</v>
      </c>
      <c r="B57" s="58">
        <f>累计考核费用!C132/10000</f>
        <v>109.034272</v>
      </c>
      <c r="C57" s="58">
        <f>累计考核费用!D132/10000</f>
        <v>0</v>
      </c>
      <c r="D57" s="58">
        <f>累计考核费用!E132/10000</f>
        <v>21.392284</v>
      </c>
      <c r="E57" s="58">
        <f>累计考核费用!F132/10000</f>
        <v>53.297238</v>
      </c>
      <c r="F57" s="58">
        <f>累计考核费用!G132/10000</f>
        <v>0.494958</v>
      </c>
      <c r="G57" s="58">
        <f>累计考核费用!H132/10000</f>
        <v>2.6396</v>
      </c>
      <c r="H57" s="58">
        <f>累计考核费用!I132/10000</f>
        <v>0.174758</v>
      </c>
      <c r="I57" s="58">
        <f>累计考核费用!J132/10000</f>
        <v>0.0453</v>
      </c>
      <c r="J57" s="58">
        <f>累计考核费用!K132/10000</f>
        <v>0.2749</v>
      </c>
      <c r="K57" s="58">
        <f>累计考核费用!L132/10000</f>
        <v>1.105208</v>
      </c>
      <c r="L57" s="58">
        <f>累计考核费用!M132/10000</f>
        <v>0.169434</v>
      </c>
      <c r="M57" s="58">
        <f>累计考核费用!N132/10000</f>
        <v>0.246033</v>
      </c>
      <c r="N57" s="58">
        <f>累计考核费用!O132/10000</f>
        <v>0.156333</v>
      </c>
      <c r="O57" s="58">
        <f>累计考核费用!P132/10000</f>
        <v>0.230508</v>
      </c>
      <c r="P57" s="58">
        <f>累计考核费用!Q132/10000</f>
        <v>0.1643</v>
      </c>
      <c r="Q57" s="58">
        <f>累计考核费用!R132/10000</f>
        <v>0.1386</v>
      </c>
      <c r="R57" s="58">
        <f>累计考核费用!S132/10000</f>
        <v>0.756241</v>
      </c>
      <c r="S57" s="58">
        <f>累计考核费用!T132/10000</f>
        <v>32.744584</v>
      </c>
      <c r="T57" s="58">
        <f>累计考核费用!U132/10000</f>
        <v>1.494302</v>
      </c>
      <c r="U57" s="58">
        <f>累计考核费用!V132/10000</f>
        <v>23.829478</v>
      </c>
      <c r="V57" s="58">
        <f>累计考核费用!W132/10000</f>
        <v>5.915063</v>
      </c>
      <c r="W57" s="58">
        <f>累计考核费用!X132/10000</f>
        <v>0.38232</v>
      </c>
      <c r="X57" s="58">
        <f>累计考核费用!Y132/10000</f>
        <v>0.889696</v>
      </c>
      <c r="Y57" s="58">
        <f>累计考核费用!Z132/10000</f>
        <v>0.233725</v>
      </c>
      <c r="Z57" s="58">
        <f>累计考核费用!AA132/10000</f>
        <v>0</v>
      </c>
      <c r="AA57" s="58">
        <f>累计考核费用!AB132/10000</f>
        <v>3.475728</v>
      </c>
      <c r="AB57" s="58">
        <f>累计考核费用!AC132/10000</f>
        <v>0.179975</v>
      </c>
      <c r="AC57" s="58">
        <f>累计考核费用!AD132/10000</f>
        <v>0</v>
      </c>
      <c r="AD57" s="58">
        <f>累计考核费用!AE132/10000</f>
        <v>0</v>
      </c>
      <c r="AE57" s="58"/>
      <c r="AF57" s="2">
        <f t="shared" si="1"/>
        <v>27.687587</v>
      </c>
    </row>
    <row r="58" s="2" customFormat="1" spans="1:32">
      <c r="A58" s="57" t="s">
        <v>118</v>
      </c>
      <c r="B58" s="58">
        <f>累计考核费用!C133/10000</f>
        <v>39.160947</v>
      </c>
      <c r="C58" s="58">
        <f>累计考核费用!D133/10000</f>
        <v>0</v>
      </c>
      <c r="D58" s="58">
        <f>累计考核费用!E133/10000</f>
        <v>8.773079</v>
      </c>
      <c r="E58" s="58">
        <f>累计考核费用!F133/10000</f>
        <v>28.064478</v>
      </c>
      <c r="F58" s="58">
        <f>累计考核费用!G133/10000</f>
        <v>0.318069</v>
      </c>
      <c r="G58" s="58">
        <f>累计考核费用!H133/10000</f>
        <v>0.170525</v>
      </c>
      <c r="H58" s="58">
        <f>累计考核费用!I133/10000</f>
        <v>0.131565</v>
      </c>
      <c r="I58" s="58">
        <f>累计考核费用!J133/10000</f>
        <v>0.0798</v>
      </c>
      <c r="J58" s="58">
        <f>累计考核费用!K133/10000</f>
        <v>0.106704</v>
      </c>
      <c r="K58" s="58">
        <f>累计考核费用!L133/10000</f>
        <v>0.873385</v>
      </c>
      <c r="L58" s="58">
        <f>累计考核费用!M133/10000</f>
        <v>0.081866</v>
      </c>
      <c r="M58" s="58">
        <f>累计考核费用!N133/10000</f>
        <v>0.031717</v>
      </c>
      <c r="N58" s="58">
        <f>累计考核费用!O133/10000</f>
        <v>0.087067</v>
      </c>
      <c r="O58" s="58">
        <f>累计考核费用!P133/10000</f>
        <v>0.35668</v>
      </c>
      <c r="P58" s="58">
        <f>累计考核费用!Q133/10000</f>
        <v>0.190015</v>
      </c>
      <c r="Q58" s="58">
        <f>累计考核费用!R133/10000</f>
        <v>0.12604</v>
      </c>
      <c r="R58" s="58">
        <f>累计考核费用!S133/10000</f>
        <v>0.66766</v>
      </c>
      <c r="S58" s="58">
        <f>累计考核费用!T133/10000</f>
        <v>1.131936</v>
      </c>
      <c r="T58" s="58">
        <f>累计考核费用!U133/10000</f>
        <v>0.086252</v>
      </c>
      <c r="U58" s="58">
        <f>累计考核费用!V133/10000</f>
        <v>0.4339</v>
      </c>
      <c r="V58" s="58">
        <f>累计考核费用!W133/10000</f>
        <v>0.251282</v>
      </c>
      <c r="W58" s="58">
        <f>累计考核费用!X133/10000</f>
        <v>0.113063</v>
      </c>
      <c r="X58" s="58">
        <f>累计考核费用!Y133/10000</f>
        <v>0.247439</v>
      </c>
      <c r="Y58" s="58">
        <f>累计考核费用!Z133/10000</f>
        <v>0</v>
      </c>
      <c r="Z58" s="58">
        <f>累计考核费用!AA133/10000</f>
        <v>0</v>
      </c>
      <c r="AA58" s="58">
        <f>累计考核费用!AB133/10000</f>
        <v>0.2464</v>
      </c>
      <c r="AB58" s="58">
        <f>累计考核费用!AC133/10000</f>
        <v>0.62425</v>
      </c>
      <c r="AC58" s="58">
        <f>累计考核费用!AD133/10000</f>
        <v>0</v>
      </c>
      <c r="AD58" s="58">
        <f>累计考核费用!AE133/10000</f>
        <v>0</v>
      </c>
      <c r="AE58" s="58"/>
      <c r="AF58" s="2">
        <f t="shared" si="1"/>
        <v>9.814254</v>
      </c>
    </row>
    <row r="59" s="2" customFormat="1" spans="1:32">
      <c r="A59" s="57" t="s">
        <v>119</v>
      </c>
      <c r="B59" s="58">
        <f>累计考核费用!C134/10000</f>
        <v>99.931946</v>
      </c>
      <c r="C59" s="58">
        <f>累计考核费用!D134/10000</f>
        <v>0</v>
      </c>
      <c r="D59" s="58">
        <f>累计考核费用!E134/10000</f>
        <v>28.392142</v>
      </c>
      <c r="E59" s="58">
        <f>累计考核费用!F134/10000</f>
        <v>35.997413</v>
      </c>
      <c r="F59" s="58">
        <f>累计考核费用!G134/10000</f>
        <v>3.997013</v>
      </c>
      <c r="G59" s="58">
        <f>累计考核费用!H134/10000</f>
        <v>2.646926</v>
      </c>
      <c r="H59" s="58">
        <f>累计考核费用!I134/10000</f>
        <v>0.522915</v>
      </c>
      <c r="I59" s="58">
        <f>累计考核费用!J134/10000</f>
        <v>0.312103</v>
      </c>
      <c r="J59" s="58">
        <f>累计考核费用!K134/10000</f>
        <v>3.161995</v>
      </c>
      <c r="K59" s="58">
        <f>累计考核费用!L134/10000</f>
        <v>6.093043</v>
      </c>
      <c r="L59" s="58">
        <f>累计考核费用!M134/10000</f>
        <v>0.309741</v>
      </c>
      <c r="M59" s="58">
        <f>累计考核费用!N134/10000</f>
        <v>0.49798</v>
      </c>
      <c r="N59" s="58">
        <f>累计考核费用!O134/10000</f>
        <v>0.417291</v>
      </c>
      <c r="O59" s="58">
        <f>累计考核费用!P134/10000</f>
        <v>0.408561</v>
      </c>
      <c r="P59" s="58">
        <f>累计考核费用!Q134/10000</f>
        <v>0.796874</v>
      </c>
      <c r="Q59" s="58">
        <f>累计考核费用!R134/10000</f>
        <v>3.662596</v>
      </c>
      <c r="R59" s="58">
        <f>累计考核费用!S134/10000</f>
        <v>1.133426</v>
      </c>
      <c r="S59" s="58">
        <f>累计考核费用!T134/10000</f>
        <v>25.452335</v>
      </c>
      <c r="T59" s="58">
        <f>累计考核费用!U134/10000</f>
        <v>7.474812</v>
      </c>
      <c r="U59" s="58">
        <f>累计考核费用!V134/10000</f>
        <v>7.119267</v>
      </c>
      <c r="V59" s="58">
        <f>累计考核费用!W134/10000</f>
        <v>6.083199</v>
      </c>
      <c r="W59" s="58">
        <f>累计考核费用!X134/10000</f>
        <v>2.735046</v>
      </c>
      <c r="X59" s="58">
        <f>累计考核费用!Y134/10000</f>
        <v>1.518211</v>
      </c>
      <c r="Y59" s="58">
        <f>累计考核费用!Z134/10000</f>
        <v>0.5218</v>
      </c>
      <c r="Z59" s="58">
        <f>累计考核费用!AA134/10000</f>
        <v>0</v>
      </c>
      <c r="AA59" s="58">
        <f>累计考核费用!AB134/10000</f>
        <v>1.468872</v>
      </c>
      <c r="AB59" s="58">
        <f>累计考核费用!AC134/10000</f>
        <v>0.465698</v>
      </c>
      <c r="AC59" s="58">
        <f>累计考核费用!AD134/10000</f>
        <v>0</v>
      </c>
      <c r="AD59" s="58">
        <f>累计考核费用!AE134/10000</f>
        <v>0</v>
      </c>
      <c r="AE59" s="58"/>
      <c r="AF59" s="2">
        <f t="shared" si="1"/>
        <v>32.973638</v>
      </c>
    </row>
    <row r="60" s="2" customFormat="1" spans="1:32">
      <c r="A60" s="57" t="s">
        <v>120</v>
      </c>
      <c r="B60" s="58">
        <f>累计考核费用!C135/10000</f>
        <v>365.247526</v>
      </c>
      <c r="C60" s="58">
        <f>累计考核费用!D135/10000</f>
        <v>0</v>
      </c>
      <c r="D60" s="58">
        <f>累计考核费用!E135/10000</f>
        <v>99.178629</v>
      </c>
      <c r="E60" s="58">
        <f>累计考核费用!F135/10000</f>
        <v>257.632077</v>
      </c>
      <c r="F60" s="58">
        <f>累计考核费用!G135/10000</f>
        <v>4.53383</v>
      </c>
      <c r="G60" s="58">
        <f>累计考核费用!H135/10000</f>
        <v>3.2369</v>
      </c>
      <c r="H60" s="58">
        <f>累计考核费用!I135/10000</f>
        <v>3.5193</v>
      </c>
      <c r="I60" s="58">
        <f>累计考核费用!J135/10000</f>
        <v>1.01453</v>
      </c>
      <c r="J60" s="58">
        <f>累计考核费用!K135/10000</f>
        <v>0</v>
      </c>
      <c r="K60" s="58">
        <f>累计考核费用!L135/10000</f>
        <v>3.33189</v>
      </c>
      <c r="L60" s="58">
        <f>累计考核费用!M135/10000</f>
        <v>1.01453</v>
      </c>
      <c r="M60" s="58">
        <f>累计考核费用!N135/10000</f>
        <v>1.30283</v>
      </c>
      <c r="N60" s="58">
        <f>累计考核费用!O135/10000</f>
        <v>1.01453</v>
      </c>
      <c r="O60" s="58">
        <f>累计考核费用!P135/10000</f>
        <v>0</v>
      </c>
      <c r="P60" s="58">
        <f>累计考核费用!Q135/10000</f>
        <v>0</v>
      </c>
      <c r="Q60" s="58">
        <f>累计考核费用!R135/10000</f>
        <v>0</v>
      </c>
      <c r="R60" s="58">
        <f>累计考核费用!S135/10000</f>
        <v>15.608689</v>
      </c>
      <c r="S60" s="58">
        <f>累计考核费用!T135/10000</f>
        <v>0.5711</v>
      </c>
      <c r="T60" s="58">
        <f>累计考核费用!U135/10000</f>
        <v>0</v>
      </c>
      <c r="U60" s="58">
        <f>累计考核费用!V135/10000</f>
        <v>0.1857</v>
      </c>
      <c r="V60" s="58">
        <f>累计考核费用!W135/10000</f>
        <v>0.3854</v>
      </c>
      <c r="W60" s="58">
        <f>累计考核费用!X135/10000</f>
        <v>0</v>
      </c>
      <c r="X60" s="58">
        <f>累计考核费用!Y135/10000</f>
        <v>0</v>
      </c>
      <c r="Y60" s="58">
        <f>累计考核费用!Z135/10000</f>
        <v>0</v>
      </c>
      <c r="Z60" s="58">
        <f>累计考核费用!AA135/10000</f>
        <v>0</v>
      </c>
      <c r="AA60" s="58">
        <f>累计考核费用!AB135/10000</f>
        <v>2.316568</v>
      </c>
      <c r="AB60" s="58">
        <f>累计考核费用!AC135/10000</f>
        <v>0</v>
      </c>
      <c r="AC60" s="58">
        <f>累计考核费用!AD135/10000</f>
        <v>0</v>
      </c>
      <c r="AD60" s="58">
        <f>累计考核费用!AE135/10000</f>
        <v>0</v>
      </c>
      <c r="AE60" s="58"/>
      <c r="AF60" s="2">
        <f t="shared" si="1"/>
        <v>104.732097</v>
      </c>
    </row>
    <row r="61" s="2" customFormat="1" spans="1:32">
      <c r="A61" s="57" t="s">
        <v>121</v>
      </c>
      <c r="B61" s="58">
        <f>累计考核费用!C136/10000</f>
        <v>704.313727</v>
      </c>
      <c r="C61" s="58">
        <f>累计考核费用!D136/10000</f>
        <v>0</v>
      </c>
      <c r="D61" s="58">
        <f>累计考核费用!E136/10000</f>
        <v>0</v>
      </c>
      <c r="E61" s="58">
        <f>累计考核费用!F136/10000</f>
        <v>704.313727</v>
      </c>
      <c r="F61" s="58">
        <f>累计考核费用!G136/10000</f>
        <v>0</v>
      </c>
      <c r="G61" s="58">
        <f>累计考核费用!H136/10000</f>
        <v>0</v>
      </c>
      <c r="H61" s="58">
        <f>累计考核费用!I136/10000</f>
        <v>0</v>
      </c>
      <c r="I61" s="58">
        <f>累计考核费用!J136/10000</f>
        <v>0</v>
      </c>
      <c r="J61" s="58">
        <f>累计考核费用!K136/10000</f>
        <v>0</v>
      </c>
      <c r="K61" s="58">
        <f>累计考核费用!L136/10000</f>
        <v>0</v>
      </c>
      <c r="L61" s="58">
        <f>累计考核费用!M136/10000</f>
        <v>0</v>
      </c>
      <c r="M61" s="58">
        <f>累计考核费用!N136/10000</f>
        <v>0</v>
      </c>
      <c r="N61" s="58">
        <f>累计考核费用!O136/10000</f>
        <v>0</v>
      </c>
      <c r="O61" s="58">
        <f>累计考核费用!P136/10000</f>
        <v>0</v>
      </c>
      <c r="P61" s="58">
        <f>累计考核费用!Q136/10000</f>
        <v>0</v>
      </c>
      <c r="Q61" s="58">
        <f>累计考核费用!R136/10000</f>
        <v>0</v>
      </c>
      <c r="R61" s="58">
        <f>累计考核费用!S136/10000</f>
        <v>0</v>
      </c>
      <c r="S61" s="58">
        <f>累计考核费用!T136/10000</f>
        <v>0</v>
      </c>
      <c r="T61" s="58">
        <f>累计考核费用!U136/10000</f>
        <v>0</v>
      </c>
      <c r="U61" s="58">
        <f>累计考核费用!V136/10000</f>
        <v>0</v>
      </c>
      <c r="V61" s="58">
        <f>累计考核费用!W136/10000</f>
        <v>0</v>
      </c>
      <c r="W61" s="58">
        <f>累计考核费用!X136/10000</f>
        <v>0</v>
      </c>
      <c r="X61" s="58">
        <f>累计考核费用!Y136/10000</f>
        <v>0</v>
      </c>
      <c r="Y61" s="58">
        <f>累计考核费用!Z136/10000</f>
        <v>0</v>
      </c>
      <c r="Z61" s="58">
        <f>累计考核费用!AA136/10000</f>
        <v>0</v>
      </c>
      <c r="AA61" s="58">
        <f>累计考核费用!AB136/10000</f>
        <v>0</v>
      </c>
      <c r="AB61" s="58">
        <f>累计考核费用!AC136/10000</f>
        <v>0</v>
      </c>
      <c r="AC61" s="58">
        <f>累计考核费用!AD136/10000</f>
        <v>0</v>
      </c>
      <c r="AD61" s="58">
        <f>累计考核费用!AE136/10000</f>
        <v>0</v>
      </c>
      <c r="AE61" s="58"/>
      <c r="AF61" s="2">
        <f t="shared" si="1"/>
        <v>0</v>
      </c>
    </row>
    <row r="62" s="2" customFormat="1" spans="1:32">
      <c r="A62" s="57" t="s">
        <v>122</v>
      </c>
      <c r="B62" s="58">
        <f>累计考核费用!C137/10000</f>
        <v>12.611292</v>
      </c>
      <c r="C62" s="58">
        <f>累计考核费用!D137/10000</f>
        <v>0</v>
      </c>
      <c r="D62" s="58">
        <f>累计考核费用!E137/10000</f>
        <v>6.605572</v>
      </c>
      <c r="E62" s="58">
        <f>累计考核费用!F137/10000</f>
        <v>6.00572</v>
      </c>
      <c r="F62" s="58">
        <f>累计考核费用!G137/10000</f>
        <v>0</v>
      </c>
      <c r="G62" s="58">
        <f>累计考核费用!H137/10000</f>
        <v>0</v>
      </c>
      <c r="H62" s="58">
        <f>累计考核费用!I137/10000</f>
        <v>0</v>
      </c>
      <c r="I62" s="58">
        <f>累计考核费用!J137/10000</f>
        <v>0</v>
      </c>
      <c r="J62" s="58">
        <f>累计考核费用!K137/10000</f>
        <v>0</v>
      </c>
      <c r="K62" s="58">
        <f>累计考核费用!L137/10000</f>
        <v>0</v>
      </c>
      <c r="L62" s="58">
        <f>累计考核费用!M137/10000</f>
        <v>0</v>
      </c>
      <c r="M62" s="58">
        <f>累计考核费用!N137/10000</f>
        <v>0</v>
      </c>
      <c r="N62" s="58">
        <f>累计考核费用!O137/10000</f>
        <v>0</v>
      </c>
      <c r="O62" s="58">
        <f>累计考核费用!P137/10000</f>
        <v>0</v>
      </c>
      <c r="P62" s="58">
        <f>累计考核费用!Q137/10000</f>
        <v>0</v>
      </c>
      <c r="Q62" s="58">
        <f>累计考核费用!R137/10000</f>
        <v>0</v>
      </c>
      <c r="R62" s="58">
        <f>累计考核费用!S137/10000</f>
        <v>0.04</v>
      </c>
      <c r="S62" s="58">
        <f>累计考核费用!T137/10000</f>
        <v>0</v>
      </c>
      <c r="T62" s="58">
        <f>累计考核费用!U137/10000</f>
        <v>0</v>
      </c>
      <c r="U62" s="58">
        <f>累计考核费用!V137/10000</f>
        <v>0</v>
      </c>
      <c r="V62" s="58">
        <f>累计考核费用!W137/10000</f>
        <v>0</v>
      </c>
      <c r="W62" s="58">
        <f>累计考核费用!X137/10000</f>
        <v>0</v>
      </c>
      <c r="X62" s="58">
        <f>累计考核费用!Y137/10000</f>
        <v>0</v>
      </c>
      <c r="Y62" s="58">
        <f>累计考核费用!Z137/10000</f>
        <v>0</v>
      </c>
      <c r="Z62" s="58">
        <f>累计考核费用!AA137/10000</f>
        <v>0</v>
      </c>
      <c r="AA62" s="58">
        <f>累计考核费用!AB137/10000</f>
        <v>0</v>
      </c>
      <c r="AB62" s="58">
        <f>累计考核费用!AC137/10000</f>
        <v>6.565572</v>
      </c>
      <c r="AC62" s="58">
        <f>累计考核费用!AD137/10000</f>
        <v>0</v>
      </c>
      <c r="AD62" s="58">
        <f>累计考核费用!AE137/10000</f>
        <v>0</v>
      </c>
      <c r="AE62" s="58"/>
      <c r="AF62" s="2">
        <f t="shared" si="1"/>
        <v>13.171144</v>
      </c>
    </row>
    <row r="63" s="2" customFormat="1" ht="14.25" spans="1:32">
      <c r="A63" s="55" t="s">
        <v>102</v>
      </c>
      <c r="B63" s="58">
        <f>累计考核费用!C138/10000</f>
        <v>8072.721897</v>
      </c>
      <c r="C63" s="58">
        <f>累计考核费用!D138/10000</f>
        <v>87.138798</v>
      </c>
      <c r="D63" s="58">
        <f>累计考核费用!E138/10000</f>
        <v>1594.346061</v>
      </c>
      <c r="E63" s="58">
        <f>累计考核费用!F138/10000</f>
        <v>3746.086895</v>
      </c>
      <c r="F63" s="58">
        <f>累计考核费用!G138/10000</f>
        <v>221.453686</v>
      </c>
      <c r="G63" s="58">
        <f>累计考核费用!H138/10000</f>
        <v>83.070418</v>
      </c>
      <c r="H63" s="58">
        <f>累计考核费用!I138/10000</f>
        <v>110.177652</v>
      </c>
      <c r="I63" s="58">
        <f>累计考核费用!J138/10000</f>
        <v>27.78151</v>
      </c>
      <c r="J63" s="58">
        <f>累计考核费用!K138/10000</f>
        <v>83.494524</v>
      </c>
      <c r="K63" s="58">
        <f>累计考核费用!L138/10000</f>
        <v>283.18888</v>
      </c>
      <c r="L63" s="58">
        <f>累计考核费用!M138/10000</f>
        <v>45.259689</v>
      </c>
      <c r="M63" s="58">
        <f>累计考核费用!N138/10000</f>
        <v>49.083162</v>
      </c>
      <c r="N63" s="58">
        <f>累计考核费用!O138/10000</f>
        <v>42.344293</v>
      </c>
      <c r="O63" s="58">
        <f>累计考核费用!P138/10000</f>
        <v>53.383612</v>
      </c>
      <c r="P63" s="58">
        <f>累计考核费用!Q138/10000</f>
        <v>46.302045</v>
      </c>
      <c r="Q63" s="58">
        <f>累计考核费用!R138/10000</f>
        <v>46.816079</v>
      </c>
      <c r="R63" s="58">
        <f>累计考核费用!S138/10000</f>
        <v>57.60447</v>
      </c>
      <c r="S63" s="58">
        <f>累计考核费用!T138/10000</f>
        <v>2140.507577</v>
      </c>
      <c r="T63" s="58">
        <f>累计考核费用!U138/10000</f>
        <v>226.371216</v>
      </c>
      <c r="U63" s="58">
        <f>累计考核费用!V138/10000</f>
        <v>1310.583884</v>
      </c>
      <c r="V63" s="58">
        <f>累计考核费用!W138/10000</f>
        <v>359.658002</v>
      </c>
      <c r="W63" s="58">
        <f>累计考核费用!X138/10000</f>
        <v>73.017476</v>
      </c>
      <c r="X63" s="58">
        <f>累计考核费用!Y138/10000</f>
        <v>139.176687</v>
      </c>
      <c r="Y63" s="58">
        <f>累计考核费用!Z138/10000</f>
        <v>15.265997</v>
      </c>
      <c r="Z63" s="58">
        <f>累计考核费用!AA138/10000</f>
        <v>16.434315</v>
      </c>
      <c r="AA63" s="58">
        <f>累计考核费用!AB138/10000</f>
        <v>117.079269</v>
      </c>
      <c r="AB63" s="58">
        <f>累计考核费用!AC138/10000</f>
        <v>48.016606</v>
      </c>
      <c r="AC63" s="58">
        <f>累计考核费用!AD138/10000</f>
        <v>0</v>
      </c>
      <c r="AD63" s="58">
        <f>累计考核费用!AE138/10000</f>
        <v>0</v>
      </c>
      <c r="AE63" s="58"/>
      <c r="AF63" s="2">
        <f t="shared" si="1"/>
        <v>1842.512354</v>
      </c>
    </row>
    <row r="64" s="2" customFormat="1" spans="1:32">
      <c r="A64" s="57" t="s">
        <v>124</v>
      </c>
      <c r="B64" s="58">
        <f>累计考核费用!C139/10000</f>
        <v>421.357585</v>
      </c>
      <c r="C64" s="58">
        <f>累计考核费用!D139/10000</f>
        <v>0</v>
      </c>
      <c r="D64" s="58">
        <f>累计考核费用!E139/10000</f>
        <v>116.136653</v>
      </c>
      <c r="E64" s="58">
        <f>累计考核费用!F139/10000</f>
        <v>279.185791</v>
      </c>
      <c r="F64" s="58">
        <f>累计考核费用!G139/10000</f>
        <v>4.590683</v>
      </c>
      <c r="G64" s="58">
        <f>累计考核费用!H139/10000</f>
        <v>0</v>
      </c>
      <c r="H64" s="58">
        <f>累计考核费用!I139/10000</f>
        <v>0</v>
      </c>
      <c r="I64" s="58">
        <f>累计考核费用!J139/10000</f>
        <v>1.980653</v>
      </c>
      <c r="J64" s="58">
        <f>累计考核费用!K139/10000</f>
        <v>2.61003</v>
      </c>
      <c r="K64" s="58">
        <f>累计考核费用!L139/10000</f>
        <v>13.726477</v>
      </c>
      <c r="L64" s="58">
        <f>累计考核费用!M139/10000</f>
        <v>2.169654</v>
      </c>
      <c r="M64" s="58">
        <f>累计考核费用!N139/10000</f>
        <v>2.169654</v>
      </c>
      <c r="N64" s="58">
        <f>累计考核费用!O139/10000</f>
        <v>2.169654</v>
      </c>
      <c r="O64" s="58">
        <f>累计考核费用!P139/10000</f>
        <v>2.51843</v>
      </c>
      <c r="P64" s="58">
        <f>累计考核费用!Q139/10000</f>
        <v>2.184255</v>
      </c>
      <c r="Q64" s="58">
        <f>累计考核费用!R139/10000</f>
        <v>2.51483</v>
      </c>
      <c r="R64" s="58">
        <f>累计考核费用!S139/10000</f>
        <v>3.689051</v>
      </c>
      <c r="S64" s="58">
        <f>累计考核费用!T139/10000</f>
        <v>7.717981</v>
      </c>
      <c r="T64" s="58">
        <f>累计考核费用!U139/10000</f>
        <v>0</v>
      </c>
      <c r="U64" s="58">
        <f>累计考核费用!V139/10000</f>
        <v>4.758301</v>
      </c>
      <c r="V64" s="58">
        <f>累计考核费用!W139/10000</f>
        <v>2.95968</v>
      </c>
      <c r="W64" s="58">
        <f>累计考核费用!X139/10000</f>
        <v>0</v>
      </c>
      <c r="X64" s="58">
        <f>累计考核费用!Y139/10000</f>
        <v>0</v>
      </c>
      <c r="Y64" s="58">
        <f>累计考核费用!Z139/10000</f>
        <v>0</v>
      </c>
      <c r="Z64" s="58">
        <f>累计考核费用!AA139/10000</f>
        <v>0</v>
      </c>
      <c r="AA64" s="58">
        <f>累计考核费用!AB139/10000</f>
        <v>1.275119</v>
      </c>
      <c r="AB64" s="58">
        <f>累计考核费用!AC139/10000</f>
        <v>5.127386</v>
      </c>
      <c r="AC64" s="58">
        <f>累计考核费用!AD139/10000</f>
        <v>0</v>
      </c>
      <c r="AD64" s="58">
        <f>累计考核费用!AE139/10000</f>
        <v>0</v>
      </c>
      <c r="AE64" s="58"/>
      <c r="AF64" s="2">
        <f t="shared" si="1"/>
        <v>122.539158</v>
      </c>
    </row>
    <row r="65" s="2" customFormat="1" spans="1:32">
      <c r="A65" s="57" t="s">
        <v>125</v>
      </c>
      <c r="B65" s="58">
        <f>累计考核费用!C140/10000</f>
        <v>442.53596</v>
      </c>
      <c r="C65" s="58">
        <f>累计考核费用!D140/10000</f>
        <v>0</v>
      </c>
      <c r="D65" s="58">
        <f>累计考核费用!E140/10000</f>
        <v>145.810426</v>
      </c>
      <c r="E65" s="58">
        <f>累计考核费用!F140/10000</f>
        <v>239.899836</v>
      </c>
      <c r="F65" s="58">
        <f>累计考核费用!G140/10000</f>
        <v>9.898042</v>
      </c>
      <c r="G65" s="58">
        <f>累计考核费用!H140/10000</f>
        <v>7.323607</v>
      </c>
      <c r="H65" s="58">
        <f>累计考核费用!I140/10000</f>
        <v>3.405161</v>
      </c>
      <c r="I65" s="58">
        <f>累计考核费用!J140/10000</f>
        <v>1.535161</v>
      </c>
      <c r="J65" s="58">
        <f>累计考核费用!K140/10000</f>
        <v>4.95772</v>
      </c>
      <c r="K65" s="58">
        <f>累计考核费用!L140/10000</f>
        <v>20.664786</v>
      </c>
      <c r="L65" s="58">
        <f>累计考核费用!M140/10000</f>
        <v>3.227505</v>
      </c>
      <c r="M65" s="58">
        <f>累计考核费用!N140/10000</f>
        <v>4.360999</v>
      </c>
      <c r="N65" s="58">
        <f>累计考核费用!O140/10000</f>
        <v>3.018722</v>
      </c>
      <c r="O65" s="58">
        <f>累计考核费用!P140/10000</f>
        <v>4.784948</v>
      </c>
      <c r="P65" s="58">
        <f>累计考核费用!Q140/10000</f>
        <v>2.421821</v>
      </c>
      <c r="Q65" s="58">
        <f>累计考核费用!R140/10000</f>
        <v>2.850791</v>
      </c>
      <c r="R65" s="58">
        <f>累计考核费用!S140/10000</f>
        <v>18.987943</v>
      </c>
      <c r="S65" s="58">
        <f>累计考核费用!T140/10000</f>
        <v>26.26287</v>
      </c>
      <c r="T65" s="58">
        <f>累计考核费用!U140/10000</f>
        <v>6.942473</v>
      </c>
      <c r="U65" s="58">
        <f>累计考核费用!V140/10000</f>
        <v>10.628655</v>
      </c>
      <c r="V65" s="58">
        <f>累计考核费用!W140/10000</f>
        <v>5.499516</v>
      </c>
      <c r="W65" s="58">
        <f>累计考核费用!X140/10000</f>
        <v>2.477584</v>
      </c>
      <c r="X65" s="58">
        <f>累计考核费用!Y140/10000</f>
        <v>0.589042</v>
      </c>
      <c r="Y65" s="58">
        <f>累计考核费用!Z140/10000</f>
        <v>0.1256</v>
      </c>
      <c r="Z65" s="58">
        <f>累计考核费用!AA140/10000</f>
        <v>0</v>
      </c>
      <c r="AA65" s="58">
        <f>累计考核费用!AB140/10000</f>
        <v>5.523933</v>
      </c>
      <c r="AB65" s="58">
        <f>累计考核费用!AC140/10000</f>
        <v>15.640811</v>
      </c>
      <c r="AC65" s="58">
        <f>累计考核费用!AD140/10000</f>
        <v>0</v>
      </c>
      <c r="AD65" s="58">
        <f>累计考核费用!AE140/10000</f>
        <v>0</v>
      </c>
      <c r="AE65" s="58"/>
      <c r="AF65" s="2">
        <f t="shared" si="1"/>
        <v>174.298777</v>
      </c>
    </row>
    <row r="66" s="2" customFormat="1" spans="1:32">
      <c r="A66" s="57" t="s">
        <v>126</v>
      </c>
      <c r="B66" s="58">
        <f>累计考核费用!C141/10000</f>
        <v>256.021542</v>
      </c>
      <c r="C66" s="58">
        <f>累计考核费用!D141/10000</f>
        <v>0</v>
      </c>
      <c r="D66" s="58">
        <f>累计考核费用!E141/10000</f>
        <v>231.465762</v>
      </c>
      <c r="E66" s="58">
        <f>累计考核费用!F141/10000</f>
        <v>0</v>
      </c>
      <c r="F66" s="58">
        <f>累计考核费用!G141/10000</f>
        <v>0</v>
      </c>
      <c r="G66" s="58">
        <f>累计考核费用!H141/10000</f>
        <v>0</v>
      </c>
      <c r="H66" s="58">
        <f>累计考核费用!I141/10000</f>
        <v>0</v>
      </c>
      <c r="I66" s="58">
        <f>累计考核费用!J141/10000</f>
        <v>0</v>
      </c>
      <c r="J66" s="58">
        <f>累计考核费用!K141/10000</f>
        <v>0</v>
      </c>
      <c r="K66" s="58">
        <f>累计考核费用!L141/10000</f>
        <v>0</v>
      </c>
      <c r="L66" s="58">
        <f>累计考核费用!M141/10000</f>
        <v>0</v>
      </c>
      <c r="M66" s="58">
        <f>累计考核费用!N141/10000</f>
        <v>0</v>
      </c>
      <c r="N66" s="58">
        <f>累计考核费用!O141/10000</f>
        <v>0</v>
      </c>
      <c r="O66" s="58">
        <f>累计考核费用!P141/10000</f>
        <v>0</v>
      </c>
      <c r="P66" s="58">
        <f>累计考核费用!Q141/10000</f>
        <v>0</v>
      </c>
      <c r="Q66" s="58">
        <f>累计考核费用!R141/10000</f>
        <v>0</v>
      </c>
      <c r="R66" s="58">
        <f>累计考核费用!S141/10000</f>
        <v>0</v>
      </c>
      <c r="S66" s="58">
        <f>累计考核费用!T141/10000</f>
        <v>24.55578</v>
      </c>
      <c r="T66" s="58">
        <f>累计考核费用!U141/10000</f>
        <v>0</v>
      </c>
      <c r="U66" s="58">
        <f>累计考核费用!V141/10000</f>
        <v>24.55578</v>
      </c>
      <c r="V66" s="58">
        <f>累计考核费用!W141/10000</f>
        <v>0</v>
      </c>
      <c r="W66" s="58">
        <f>累计考核费用!X141/10000</f>
        <v>0</v>
      </c>
      <c r="X66" s="58">
        <f>累计考核费用!Y141/10000</f>
        <v>0</v>
      </c>
      <c r="Y66" s="58">
        <f>累计考核费用!Z141/10000</f>
        <v>0</v>
      </c>
      <c r="Z66" s="58">
        <f>累计考核费用!AA141/10000</f>
        <v>0</v>
      </c>
      <c r="AA66" s="58">
        <f>累计考核费用!AB141/10000</f>
        <v>0</v>
      </c>
      <c r="AB66" s="58">
        <f>累计考核费用!AC141/10000</f>
        <v>0</v>
      </c>
      <c r="AC66" s="58">
        <f>累计考核费用!AD141/10000</f>
        <v>0</v>
      </c>
      <c r="AD66" s="58">
        <f>累计考核费用!AE141/10000</f>
        <v>0</v>
      </c>
      <c r="AE66" s="58"/>
      <c r="AF66" s="2">
        <f t="shared" si="1"/>
        <v>231.465762</v>
      </c>
    </row>
    <row r="67" s="2" customFormat="1" spans="1:32">
      <c r="A67" s="57" t="s">
        <v>127</v>
      </c>
      <c r="B67" s="58">
        <f>累计考核费用!C142/10000</f>
        <v>257.023835</v>
      </c>
      <c r="C67" s="58">
        <f>累计考核费用!D142/10000</f>
        <v>0</v>
      </c>
      <c r="D67" s="58">
        <f>累计考核费用!E142/10000</f>
        <v>37.938801</v>
      </c>
      <c r="E67" s="58">
        <f>累计考核费用!F142/10000</f>
        <v>208.666627</v>
      </c>
      <c r="F67" s="58">
        <f>累计考核费用!G142/10000</f>
        <v>2.551285</v>
      </c>
      <c r="G67" s="58">
        <f>累计考核费用!H142/10000</f>
        <v>0</v>
      </c>
      <c r="H67" s="58">
        <f>累计考核费用!I142/10000</f>
        <v>0</v>
      </c>
      <c r="I67" s="58">
        <f>累计考核费用!J142/10000</f>
        <v>1.026833</v>
      </c>
      <c r="J67" s="58">
        <f>累计考核费用!K142/10000</f>
        <v>1.524452</v>
      </c>
      <c r="K67" s="58">
        <f>累计考核费用!L142/10000</f>
        <v>7.867122</v>
      </c>
      <c r="L67" s="58">
        <f>累计考核费用!M142/10000</f>
        <v>1.204555</v>
      </c>
      <c r="M67" s="58">
        <f>累计考核费用!N142/10000</f>
        <v>1.204554</v>
      </c>
      <c r="N67" s="58">
        <f>累计考核费用!O142/10000</f>
        <v>1.204554</v>
      </c>
      <c r="O67" s="58">
        <f>累计考核费用!P142/10000</f>
        <v>1.524452</v>
      </c>
      <c r="P67" s="58">
        <f>累计考核费用!Q142/10000</f>
        <v>1.204555</v>
      </c>
      <c r="Q67" s="58">
        <f>累计考核费用!R142/10000</f>
        <v>1.524452</v>
      </c>
      <c r="R67" s="58">
        <f>累计考核费用!S142/10000</f>
        <v>1.524448</v>
      </c>
      <c r="S67" s="58">
        <f>累计考核费用!T142/10000</f>
        <v>0</v>
      </c>
      <c r="T67" s="58">
        <f>累计考核费用!U142/10000</f>
        <v>0</v>
      </c>
      <c r="U67" s="58">
        <f>累计考核费用!V142/10000</f>
        <v>0</v>
      </c>
      <c r="V67" s="58">
        <f>累计考核费用!W142/10000</f>
        <v>0</v>
      </c>
      <c r="W67" s="58">
        <f>累计考核费用!X142/10000</f>
        <v>0</v>
      </c>
      <c r="X67" s="58">
        <f>累计考核费用!Y142/10000</f>
        <v>0</v>
      </c>
      <c r="Y67" s="58">
        <f>累计考核费用!Z142/10000</f>
        <v>0</v>
      </c>
      <c r="Z67" s="58">
        <f>累计考核费用!AA142/10000</f>
        <v>0</v>
      </c>
      <c r="AA67" s="58">
        <f>累计考核费用!AB142/10000</f>
        <v>0</v>
      </c>
      <c r="AB67" s="58">
        <f>累计考核费用!AC142/10000</f>
        <v>2.021643</v>
      </c>
      <c r="AC67" s="58">
        <f>累计考核费用!AD142/10000</f>
        <v>0</v>
      </c>
      <c r="AD67" s="58">
        <f>累计考核费用!AE142/10000</f>
        <v>0</v>
      </c>
      <c r="AE67" s="58"/>
      <c r="AF67" s="2">
        <f t="shared" si="1"/>
        <v>39.960444</v>
      </c>
    </row>
    <row r="68" s="2" customFormat="1" spans="1:32">
      <c r="A68" s="57" t="s">
        <v>128</v>
      </c>
      <c r="B68" s="58">
        <f>累计考核费用!C143/10000</f>
        <v>24.524057</v>
      </c>
      <c r="C68" s="58">
        <f>累计考核费用!D143/10000</f>
        <v>0</v>
      </c>
      <c r="D68" s="58">
        <f>累计考核费用!E143/10000</f>
        <v>24.524057</v>
      </c>
      <c r="E68" s="58">
        <f>累计考核费用!F143/10000</f>
        <v>0</v>
      </c>
      <c r="F68" s="58">
        <f>累计考核费用!G143/10000</f>
        <v>0</v>
      </c>
      <c r="G68" s="58">
        <f>累计考核费用!H143/10000</f>
        <v>0</v>
      </c>
      <c r="H68" s="58">
        <f>累计考核费用!I143/10000</f>
        <v>0</v>
      </c>
      <c r="I68" s="58">
        <f>累计考核费用!J143/10000</f>
        <v>0</v>
      </c>
      <c r="J68" s="58">
        <f>累计考核费用!K143/10000</f>
        <v>0</v>
      </c>
      <c r="K68" s="58">
        <f>累计考核费用!L143/10000</f>
        <v>0</v>
      </c>
      <c r="L68" s="58">
        <f>累计考核费用!M143/10000</f>
        <v>0</v>
      </c>
      <c r="M68" s="58">
        <f>累计考核费用!N143/10000</f>
        <v>0</v>
      </c>
      <c r="N68" s="58">
        <f>累计考核费用!O143/10000</f>
        <v>0</v>
      </c>
      <c r="O68" s="58">
        <f>累计考核费用!P143/10000</f>
        <v>0</v>
      </c>
      <c r="P68" s="58">
        <f>累计考核费用!Q143/10000</f>
        <v>0</v>
      </c>
      <c r="Q68" s="58">
        <f>累计考核费用!R143/10000</f>
        <v>0</v>
      </c>
      <c r="R68" s="58">
        <f>累计考核费用!S143/10000</f>
        <v>0</v>
      </c>
      <c r="S68" s="58">
        <f>累计考核费用!T143/10000</f>
        <v>0</v>
      </c>
      <c r="T68" s="58">
        <f>累计考核费用!U143/10000</f>
        <v>0</v>
      </c>
      <c r="U68" s="58">
        <f>累计考核费用!V143/10000</f>
        <v>0</v>
      </c>
      <c r="V68" s="58">
        <f>累计考核费用!W143/10000</f>
        <v>0</v>
      </c>
      <c r="W68" s="58">
        <f>累计考核费用!X143/10000</f>
        <v>0</v>
      </c>
      <c r="X68" s="58">
        <f>累计考核费用!Y143/10000</f>
        <v>0</v>
      </c>
      <c r="Y68" s="58">
        <f>累计考核费用!Z143/10000</f>
        <v>0</v>
      </c>
      <c r="Z68" s="58">
        <f>累计考核费用!AA143/10000</f>
        <v>0</v>
      </c>
      <c r="AA68" s="58">
        <f>累计考核费用!AB143/10000</f>
        <v>0</v>
      </c>
      <c r="AB68" s="58">
        <f>累计考核费用!AC143/10000</f>
        <v>0</v>
      </c>
      <c r="AC68" s="58">
        <f>累计考核费用!AD143/10000</f>
        <v>0</v>
      </c>
      <c r="AD68" s="58">
        <f>累计考核费用!AE143/10000</f>
        <v>0</v>
      </c>
      <c r="AE68" s="58"/>
      <c r="AF68" s="2">
        <f t="shared" si="1"/>
        <v>24.524057</v>
      </c>
    </row>
    <row r="69" s="2" customFormat="1" spans="1:32">
      <c r="A69" s="57" t="s">
        <v>129</v>
      </c>
      <c r="B69" s="58">
        <f>累计考核费用!C144/10000</f>
        <v>75.015263</v>
      </c>
      <c r="C69" s="58">
        <f>累计考核费用!D144/10000</f>
        <v>0</v>
      </c>
      <c r="D69" s="58">
        <f>累计考核费用!E144/10000</f>
        <v>34.576114</v>
      </c>
      <c r="E69" s="58">
        <f>累计考核费用!F144/10000</f>
        <v>39.489574</v>
      </c>
      <c r="F69" s="58">
        <f>累计考核费用!G144/10000</f>
        <v>0.04</v>
      </c>
      <c r="G69" s="58">
        <f>累计考核费用!H144/10000</f>
        <v>0</v>
      </c>
      <c r="H69" s="58">
        <f>累计考核费用!I144/10000</f>
        <v>0</v>
      </c>
      <c r="I69" s="58">
        <f>累计考核费用!J144/10000</f>
        <v>0</v>
      </c>
      <c r="J69" s="58">
        <f>累计考核费用!K144/10000</f>
        <v>0.04</v>
      </c>
      <c r="K69" s="58">
        <f>累计考核费用!L144/10000</f>
        <v>0.744949</v>
      </c>
      <c r="L69" s="58">
        <f>累计考核费用!M144/10000</f>
        <v>0</v>
      </c>
      <c r="M69" s="58">
        <f>累计考核费用!N144/10000</f>
        <v>0</v>
      </c>
      <c r="N69" s="58">
        <f>累计考核费用!O144/10000</f>
        <v>0</v>
      </c>
      <c r="O69" s="58">
        <f>累计考核费用!P144/10000</f>
        <v>0.602049</v>
      </c>
      <c r="P69" s="58">
        <f>累计考核费用!Q144/10000</f>
        <v>0</v>
      </c>
      <c r="Q69" s="58">
        <f>累计考核费用!R144/10000</f>
        <v>0.1429</v>
      </c>
      <c r="R69" s="58">
        <f>累计考核费用!S144/10000</f>
        <v>0.639245</v>
      </c>
      <c r="S69" s="58">
        <f>累计考核费用!T144/10000</f>
        <v>0.164626</v>
      </c>
      <c r="T69" s="58">
        <f>累计考核费用!U144/10000</f>
        <v>0</v>
      </c>
      <c r="U69" s="58">
        <f>累计考核费用!V144/10000</f>
        <v>0.07416</v>
      </c>
      <c r="V69" s="58">
        <f>累计考核费用!W144/10000</f>
        <v>0.090466</v>
      </c>
      <c r="W69" s="58">
        <f>累计考核费用!X144/10000</f>
        <v>0</v>
      </c>
      <c r="X69" s="58">
        <f>累计考核费用!Y144/10000</f>
        <v>0</v>
      </c>
      <c r="Y69" s="58">
        <f>累计考核费用!Z144/10000</f>
        <v>0</v>
      </c>
      <c r="Z69" s="58">
        <f>累计考核费用!AA144/10000</f>
        <v>0</v>
      </c>
      <c r="AA69" s="58">
        <f>累计考核费用!AB144/10000</f>
        <v>0.61</v>
      </c>
      <c r="AB69" s="58">
        <f>累计考核费用!AC144/10000</f>
        <v>0.033</v>
      </c>
      <c r="AC69" s="58">
        <f>累计考核费用!AD144/10000</f>
        <v>0</v>
      </c>
      <c r="AD69" s="58">
        <f>累计考核费用!AE144/10000</f>
        <v>0</v>
      </c>
      <c r="AE69" s="58"/>
      <c r="AF69" s="2">
        <f t="shared" si="1"/>
        <v>35.219114</v>
      </c>
    </row>
    <row r="70" s="2" customFormat="1" spans="1:32">
      <c r="A70" s="57" t="s">
        <v>130</v>
      </c>
      <c r="B70" s="58">
        <f>累计考核费用!C145/10000</f>
        <v>212.290077</v>
      </c>
      <c r="C70" s="58">
        <f>累计考核费用!D145/10000</f>
        <v>0</v>
      </c>
      <c r="D70" s="58">
        <f>累计考核费用!E145/10000</f>
        <v>156.477077</v>
      </c>
      <c r="E70" s="58">
        <f>累计考核费用!F145/10000</f>
        <v>55.813</v>
      </c>
      <c r="F70" s="58">
        <f>累计考核费用!G145/10000</f>
        <v>0</v>
      </c>
      <c r="G70" s="58">
        <f>累计考核费用!H145/10000</f>
        <v>0</v>
      </c>
      <c r="H70" s="58">
        <f>累计考核费用!I145/10000</f>
        <v>0</v>
      </c>
      <c r="I70" s="58">
        <f>累计考核费用!J145/10000</f>
        <v>0</v>
      </c>
      <c r="J70" s="58">
        <f>累计考核费用!K145/10000</f>
        <v>0</v>
      </c>
      <c r="K70" s="58">
        <f>累计考核费用!L145/10000</f>
        <v>0</v>
      </c>
      <c r="L70" s="58">
        <f>累计考核费用!M145/10000</f>
        <v>0</v>
      </c>
      <c r="M70" s="58">
        <f>累计考核费用!N145/10000</f>
        <v>0</v>
      </c>
      <c r="N70" s="58">
        <f>累计考核费用!O145/10000</f>
        <v>0</v>
      </c>
      <c r="O70" s="58">
        <f>累计考核费用!P145/10000</f>
        <v>0</v>
      </c>
      <c r="P70" s="58">
        <f>累计考核费用!Q145/10000</f>
        <v>0</v>
      </c>
      <c r="Q70" s="58">
        <f>累计考核费用!R145/10000</f>
        <v>0</v>
      </c>
      <c r="R70" s="58">
        <f>累计考核费用!S145/10000</f>
        <v>0.8</v>
      </c>
      <c r="S70" s="58">
        <f>累计考核费用!T145/10000</f>
        <v>0</v>
      </c>
      <c r="T70" s="58">
        <f>累计考核费用!U145/10000</f>
        <v>0</v>
      </c>
      <c r="U70" s="58">
        <f>累计考核费用!V145/10000</f>
        <v>0</v>
      </c>
      <c r="V70" s="58">
        <f>累计考核费用!W145/10000</f>
        <v>0</v>
      </c>
      <c r="W70" s="58">
        <f>累计考核费用!X145/10000</f>
        <v>0</v>
      </c>
      <c r="X70" s="58">
        <f>累计考核费用!Y145/10000</f>
        <v>0</v>
      </c>
      <c r="Y70" s="58">
        <f>累计考核费用!Z145/10000</f>
        <v>0</v>
      </c>
      <c r="Z70" s="58">
        <f>累计考核费用!AA145/10000</f>
        <v>0</v>
      </c>
      <c r="AA70" s="58">
        <f>累计考核费用!AB145/10000</f>
        <v>0</v>
      </c>
      <c r="AB70" s="58">
        <f>累计考核费用!AC145/10000</f>
        <v>0</v>
      </c>
      <c r="AC70" s="58">
        <f>累计考核费用!AD145/10000</f>
        <v>0</v>
      </c>
      <c r="AD70" s="58">
        <f>累计考核费用!AE145/10000</f>
        <v>0</v>
      </c>
      <c r="AE70" s="58"/>
      <c r="AF70" s="2">
        <f t="shared" si="1"/>
        <v>156.477077</v>
      </c>
    </row>
    <row r="71" s="2" customFormat="1" spans="1:32">
      <c r="A71" s="57" t="s">
        <v>131</v>
      </c>
      <c r="B71" s="58">
        <f>累计考核费用!C146/10000</f>
        <v>86.493218</v>
      </c>
      <c r="C71" s="58">
        <f>累计考核费用!D146/10000</f>
        <v>0</v>
      </c>
      <c r="D71" s="58">
        <f>累计考核费用!E146/10000</f>
        <v>43.199905</v>
      </c>
      <c r="E71" s="58">
        <f>累计考核费用!F146/10000</f>
        <v>5.447555</v>
      </c>
      <c r="F71" s="58">
        <f>累计考核费用!G146/10000</f>
        <v>0</v>
      </c>
      <c r="G71" s="58">
        <f>累计考核费用!H146/10000</f>
        <v>0</v>
      </c>
      <c r="H71" s="58">
        <f>累计考核费用!I146/10000</f>
        <v>0</v>
      </c>
      <c r="I71" s="58">
        <f>累计考核费用!J146/10000</f>
        <v>0</v>
      </c>
      <c r="J71" s="58">
        <f>累计考核费用!K146/10000</f>
        <v>0</v>
      </c>
      <c r="K71" s="58">
        <f>累计考核费用!L146/10000</f>
        <v>11.320754</v>
      </c>
      <c r="L71" s="58">
        <f>累计考核费用!M146/10000</f>
        <v>0</v>
      </c>
      <c r="M71" s="58">
        <f>累计考核费用!N146/10000</f>
        <v>11.320754</v>
      </c>
      <c r="N71" s="58">
        <f>累计考核费用!O146/10000</f>
        <v>0</v>
      </c>
      <c r="O71" s="58">
        <f>累计考核费用!P146/10000</f>
        <v>0</v>
      </c>
      <c r="P71" s="58">
        <f>累计考核费用!Q146/10000</f>
        <v>0</v>
      </c>
      <c r="Q71" s="58">
        <f>累计考核费用!R146/10000</f>
        <v>0</v>
      </c>
      <c r="R71" s="58">
        <f>累计考核费用!S146/10000</f>
        <v>0</v>
      </c>
      <c r="S71" s="58">
        <f>累计考核费用!T146/10000</f>
        <v>26.525004</v>
      </c>
      <c r="T71" s="58">
        <f>累计考核费用!U146/10000</f>
        <v>0</v>
      </c>
      <c r="U71" s="58">
        <f>累计考核费用!V146/10000</f>
        <v>23.63986</v>
      </c>
      <c r="V71" s="58">
        <f>累计考核费用!W146/10000</f>
        <v>2.885144</v>
      </c>
      <c r="W71" s="58">
        <f>累计考核费用!X146/10000</f>
        <v>0</v>
      </c>
      <c r="X71" s="58">
        <f>累计考核费用!Y146/10000</f>
        <v>0</v>
      </c>
      <c r="Y71" s="58">
        <f>累计考核费用!Z146/10000</f>
        <v>0</v>
      </c>
      <c r="Z71" s="58">
        <f>累计考核费用!AA146/10000</f>
        <v>0</v>
      </c>
      <c r="AA71" s="58">
        <f>累计考核费用!AB146/10000</f>
        <v>0</v>
      </c>
      <c r="AB71" s="58">
        <f>累计考核费用!AC146/10000</f>
        <v>0</v>
      </c>
      <c r="AC71" s="58">
        <f>累计考核费用!AD146/10000</f>
        <v>0</v>
      </c>
      <c r="AD71" s="58">
        <f>累计考核费用!AE146/10000</f>
        <v>0</v>
      </c>
      <c r="AE71" s="58"/>
      <c r="AF71" s="2">
        <f t="shared" si="1"/>
        <v>43.199905</v>
      </c>
    </row>
    <row r="72" s="2" customFormat="1" spans="1:32">
      <c r="A72" s="57" t="s">
        <v>132</v>
      </c>
      <c r="B72" s="58">
        <f>累计考核费用!C147/10000</f>
        <v>0</v>
      </c>
      <c r="C72" s="58">
        <f>累计考核费用!D147/10000</f>
        <v>0</v>
      </c>
      <c r="D72" s="58">
        <f>累计考核费用!E147/10000</f>
        <v>0</v>
      </c>
      <c r="E72" s="58">
        <f>累计考核费用!F147/10000</f>
        <v>0</v>
      </c>
      <c r="F72" s="58">
        <f>累计考核费用!G147/10000</f>
        <v>0</v>
      </c>
      <c r="G72" s="58">
        <f>累计考核费用!H147/10000</f>
        <v>0</v>
      </c>
      <c r="H72" s="58">
        <f>累计考核费用!I147/10000</f>
        <v>0</v>
      </c>
      <c r="I72" s="58">
        <f>累计考核费用!J147/10000</f>
        <v>0</v>
      </c>
      <c r="J72" s="58">
        <f>累计考核费用!K147/10000</f>
        <v>0</v>
      </c>
      <c r="K72" s="58">
        <f>累计考核费用!L147/10000</f>
        <v>0</v>
      </c>
      <c r="L72" s="58">
        <f>累计考核费用!M147/10000</f>
        <v>0</v>
      </c>
      <c r="M72" s="58">
        <f>累计考核费用!N147/10000</f>
        <v>0</v>
      </c>
      <c r="N72" s="58">
        <f>累计考核费用!O147/10000</f>
        <v>0</v>
      </c>
      <c r="O72" s="58">
        <f>累计考核费用!P147/10000</f>
        <v>0</v>
      </c>
      <c r="P72" s="58">
        <f>累计考核费用!Q147/10000</f>
        <v>0</v>
      </c>
      <c r="Q72" s="58">
        <f>累计考核费用!R147/10000</f>
        <v>0</v>
      </c>
      <c r="R72" s="58">
        <f>累计考核费用!S147/10000</f>
        <v>0</v>
      </c>
      <c r="S72" s="58">
        <f>累计考核费用!T147/10000</f>
        <v>0</v>
      </c>
      <c r="T72" s="58">
        <f>累计考核费用!U147/10000</f>
        <v>0</v>
      </c>
      <c r="U72" s="58">
        <f>累计考核费用!V147/10000</f>
        <v>0</v>
      </c>
      <c r="V72" s="58">
        <f>累计考核费用!W147/10000</f>
        <v>0</v>
      </c>
      <c r="W72" s="58">
        <f>累计考核费用!X147/10000</f>
        <v>0</v>
      </c>
      <c r="X72" s="58">
        <f>累计考核费用!Y147/10000</f>
        <v>0</v>
      </c>
      <c r="Y72" s="58">
        <f>累计考核费用!Z147/10000</f>
        <v>0</v>
      </c>
      <c r="Z72" s="58">
        <f>累计考核费用!AA147/10000</f>
        <v>0</v>
      </c>
      <c r="AA72" s="58">
        <f>累计考核费用!AB147/10000</f>
        <v>0</v>
      </c>
      <c r="AB72" s="58">
        <f>累计考核费用!AC147/10000</f>
        <v>0</v>
      </c>
      <c r="AC72" s="58">
        <f>累计考核费用!AD147/10000</f>
        <v>0</v>
      </c>
      <c r="AD72" s="58">
        <f>累计考核费用!AE147/10000</f>
        <v>0</v>
      </c>
      <c r="AE72" s="58"/>
      <c r="AF72" s="2">
        <f t="shared" si="1"/>
        <v>0</v>
      </c>
    </row>
    <row r="73" s="2" customFormat="1" spans="1:32">
      <c r="A73" s="57" t="s">
        <v>133</v>
      </c>
      <c r="B73" s="58">
        <f>累计考核费用!C148/10000</f>
        <v>1532.565357</v>
      </c>
      <c r="C73" s="58">
        <f>累计考核费用!D148/10000</f>
        <v>0</v>
      </c>
      <c r="D73" s="58">
        <f>累计考核费用!E148/10000</f>
        <v>897.853326</v>
      </c>
      <c r="E73" s="58">
        <f>累计考核费用!F148/10000</f>
        <v>593.091148</v>
      </c>
      <c r="F73" s="58">
        <f>累计考核费用!G148/10000</f>
        <v>20.439122</v>
      </c>
      <c r="G73" s="58">
        <f>累计考核费用!H148/10000</f>
        <v>0</v>
      </c>
      <c r="H73" s="58">
        <f>累计考核费用!I148/10000</f>
        <v>1.977258</v>
      </c>
      <c r="I73" s="58">
        <f>累计考核费用!J148/10000</f>
        <v>1.977258</v>
      </c>
      <c r="J73" s="58">
        <f>累计考核费用!K148/10000</f>
        <v>16.484606</v>
      </c>
      <c r="K73" s="58">
        <f>累计考核费用!L148/10000</f>
        <v>21.181761</v>
      </c>
      <c r="L73" s="58">
        <f>累计考核费用!M148/10000</f>
        <v>5.058834</v>
      </c>
      <c r="M73" s="58">
        <f>累计考核费用!N148/10000</f>
        <v>1.93935</v>
      </c>
      <c r="N73" s="58">
        <f>累计考核费用!O148/10000</f>
        <v>0.614691</v>
      </c>
      <c r="O73" s="58">
        <f>累计考核费用!P148/10000</f>
        <v>3.954516</v>
      </c>
      <c r="P73" s="58">
        <f>累计考核费用!Q148/10000</f>
        <v>0</v>
      </c>
      <c r="Q73" s="58">
        <f>累计考核费用!R148/10000</f>
        <v>9.61437</v>
      </c>
      <c r="R73" s="58">
        <f>累计考核费用!S148/10000</f>
        <v>1.225226</v>
      </c>
      <c r="S73" s="58">
        <f>累计考核费用!T148/10000</f>
        <v>0</v>
      </c>
      <c r="T73" s="58">
        <f>累计考核费用!U148/10000</f>
        <v>0</v>
      </c>
      <c r="U73" s="58">
        <f>累计考核费用!V148/10000</f>
        <v>0</v>
      </c>
      <c r="V73" s="58">
        <f>累计考核费用!W148/10000</f>
        <v>0</v>
      </c>
      <c r="W73" s="58">
        <f>累计考核费用!X148/10000</f>
        <v>0</v>
      </c>
      <c r="X73" s="58">
        <f>累计考核费用!Y148/10000</f>
        <v>0</v>
      </c>
      <c r="Y73" s="58">
        <f>累计考核费用!Z148/10000</f>
        <v>0</v>
      </c>
      <c r="Z73" s="58">
        <f>累计考核费用!AA148/10000</f>
        <v>0</v>
      </c>
      <c r="AA73" s="58">
        <f>累计考核费用!AB148/10000</f>
        <v>0</v>
      </c>
      <c r="AB73" s="58">
        <f>累计考核费用!AC148/10000</f>
        <v>0</v>
      </c>
      <c r="AC73" s="58">
        <f>累计考核费用!AD148/10000</f>
        <v>0</v>
      </c>
      <c r="AD73" s="58">
        <f>累计考核费用!AE148/10000</f>
        <v>0</v>
      </c>
      <c r="AE73" s="58"/>
      <c r="AF73" s="2">
        <f t="shared" si="1"/>
        <v>897.853326</v>
      </c>
    </row>
    <row r="74" s="2" customFormat="1" spans="1:32">
      <c r="A74" s="57" t="s">
        <v>134</v>
      </c>
      <c r="B74" s="58">
        <f>累计考核费用!C149/10000</f>
        <v>551.418782</v>
      </c>
      <c r="C74" s="58">
        <f>累计考核费用!D149/10000</f>
        <v>0</v>
      </c>
      <c r="D74" s="58">
        <f>累计考核费用!E149/10000</f>
        <v>109.648194</v>
      </c>
      <c r="E74" s="58">
        <f>累计考核费用!F149/10000</f>
        <v>367.080985</v>
      </c>
      <c r="F74" s="58">
        <f>累计考核费用!G149/10000</f>
        <v>38.73987</v>
      </c>
      <c r="G74" s="58">
        <f>累计考核费用!H149/10000</f>
        <v>0.360325</v>
      </c>
      <c r="H74" s="58">
        <f>累计考核费用!I149/10000</f>
        <v>8.431203</v>
      </c>
      <c r="I74" s="58">
        <f>累计考核费用!J149/10000</f>
        <v>8.119268</v>
      </c>
      <c r="J74" s="58">
        <f>累计考核费用!K149/10000</f>
        <v>22.189399</v>
      </c>
      <c r="K74" s="58">
        <f>累计考核费用!L149/10000</f>
        <v>35.544714</v>
      </c>
      <c r="L74" s="58">
        <f>累计考核费用!M149/10000</f>
        <v>7.811844</v>
      </c>
      <c r="M74" s="58">
        <f>累计考核费用!N149/10000</f>
        <v>7.811844</v>
      </c>
      <c r="N74" s="58">
        <f>累计考核费用!O149/10000</f>
        <v>6.537409</v>
      </c>
      <c r="O74" s="58">
        <f>累计考核费用!P149/10000</f>
        <v>3.605087</v>
      </c>
      <c r="P74" s="58">
        <f>累计考核费用!Q149/10000</f>
        <v>5.541738</v>
      </c>
      <c r="Q74" s="58">
        <f>累计考核费用!R149/10000</f>
        <v>4.236792</v>
      </c>
      <c r="R74" s="58">
        <f>累计考核费用!S149/10000</f>
        <v>0.156</v>
      </c>
      <c r="S74" s="58">
        <f>累计考核费用!T149/10000</f>
        <v>0.405019</v>
      </c>
      <c r="T74" s="58">
        <f>累计考核费用!U149/10000</f>
        <v>0.245283</v>
      </c>
      <c r="U74" s="58">
        <f>累计考核费用!V149/10000</f>
        <v>0.122</v>
      </c>
      <c r="V74" s="58">
        <f>累计考核费用!W149/10000</f>
        <v>0</v>
      </c>
      <c r="W74" s="58">
        <f>累计考核费用!X149/10000</f>
        <v>0.037736</v>
      </c>
      <c r="X74" s="58">
        <f>累计考核费用!Y149/10000</f>
        <v>0</v>
      </c>
      <c r="Y74" s="58">
        <f>累计考核费用!Z149/10000</f>
        <v>0</v>
      </c>
      <c r="Z74" s="58">
        <f>累计考核费用!AA149/10000</f>
        <v>0</v>
      </c>
      <c r="AA74" s="58">
        <f>累计考核费用!AB149/10000</f>
        <v>0.54717</v>
      </c>
      <c r="AB74" s="58">
        <f>累计考核费用!AC149/10000</f>
        <v>0.226416</v>
      </c>
      <c r="AC74" s="58">
        <f>累计考核费用!AD149/10000</f>
        <v>0</v>
      </c>
      <c r="AD74" s="58">
        <f>累计考核费用!AE149/10000</f>
        <v>0</v>
      </c>
      <c r="AE74" s="58"/>
      <c r="AF74" s="2">
        <f t="shared" si="1"/>
        <v>110.782105</v>
      </c>
    </row>
    <row r="75" s="2" customFormat="1" spans="1:32">
      <c r="A75" s="57" t="s">
        <v>135</v>
      </c>
      <c r="B75" s="58">
        <f>累计考核费用!C150/10000</f>
        <v>3870.648525</v>
      </c>
      <c r="C75" s="58">
        <f>累计考核费用!D150/10000</f>
        <v>27.45032</v>
      </c>
      <c r="D75" s="58">
        <f>累计考核费用!E150/10000</f>
        <v>825.629527</v>
      </c>
      <c r="E75" s="58">
        <f>累计考核费用!F150/10000</f>
        <v>2741.920272</v>
      </c>
      <c r="F75" s="58">
        <f>累计考核费用!G150/10000</f>
        <v>51.266806</v>
      </c>
      <c r="G75" s="58">
        <f>累计考核费用!H150/10000</f>
        <v>0.1895</v>
      </c>
      <c r="H75" s="58">
        <f>累计考核费用!I150/10000</f>
        <v>0</v>
      </c>
      <c r="I75" s="58">
        <f>累计考核费用!J150/10000</f>
        <v>20.611101</v>
      </c>
      <c r="J75" s="58">
        <f>累计考核费用!K150/10000</f>
        <v>30.655705</v>
      </c>
      <c r="K75" s="58">
        <f>累计考核费用!L150/10000</f>
        <v>166.219361</v>
      </c>
      <c r="L75" s="58">
        <f>累计考核费用!M150/10000</f>
        <v>25.720074</v>
      </c>
      <c r="M75" s="58">
        <f>累计考核费用!N150/10000</f>
        <v>25.791861</v>
      </c>
      <c r="N75" s="58">
        <f>累计考核费用!O150/10000</f>
        <v>25.694774</v>
      </c>
      <c r="O75" s="58">
        <f>累计考核费用!P150/10000</f>
        <v>31.91784</v>
      </c>
      <c r="P75" s="58">
        <f>累计考核费用!Q150/10000</f>
        <v>26.439107</v>
      </c>
      <c r="Q75" s="58">
        <f>累计考核费用!R150/10000</f>
        <v>30.655705</v>
      </c>
      <c r="R75" s="58">
        <f>累计考核费用!S150/10000</f>
        <v>518.50519</v>
      </c>
      <c r="S75" s="58">
        <f>累计考核费用!T150/10000</f>
        <v>58.162239</v>
      </c>
      <c r="T75" s="58">
        <f>累计考核费用!U150/10000</f>
        <v>0</v>
      </c>
      <c r="U75" s="58">
        <f>累计考核费用!V150/10000</f>
        <v>35.983122</v>
      </c>
      <c r="V75" s="58">
        <f>累计考核费用!W150/10000</f>
        <v>22.170717</v>
      </c>
      <c r="W75" s="58">
        <f>累计考核费用!X150/10000</f>
        <v>0</v>
      </c>
      <c r="X75" s="58">
        <f>累计考核费用!Y150/10000</f>
        <v>0.0084</v>
      </c>
      <c r="Y75" s="58">
        <f>累计考核费用!Z150/10000</f>
        <v>0</v>
      </c>
      <c r="Z75" s="58">
        <f>累计考核费用!AA150/10000</f>
        <v>0</v>
      </c>
      <c r="AA75" s="58">
        <f>累计考核费用!AB150/10000</f>
        <v>11.302713</v>
      </c>
      <c r="AB75" s="58">
        <f>累计考核费用!AC150/10000</f>
        <v>16.8056</v>
      </c>
      <c r="AC75" s="58">
        <f>累计考核费用!AD150/10000</f>
        <v>0</v>
      </c>
      <c r="AD75" s="58">
        <f>累计考核费用!AE150/10000</f>
        <v>0</v>
      </c>
      <c r="AE75" s="58"/>
      <c r="AF75" s="2">
        <f t="shared" si="1"/>
        <v>853.92734</v>
      </c>
    </row>
    <row r="76" s="2" customFormat="1" spans="1:32">
      <c r="A76" s="57" t="s">
        <v>136</v>
      </c>
      <c r="B76" s="58">
        <f>累计考核费用!C151/10000</f>
        <v>1784.562341</v>
      </c>
      <c r="C76" s="58">
        <f>累计考核费用!D151/10000</f>
        <v>-983.259448</v>
      </c>
      <c r="D76" s="58">
        <f>累计考核费用!E151/10000</f>
        <v>1395.56545</v>
      </c>
      <c r="E76" s="58">
        <f>累计考核费用!F151/10000</f>
        <v>1358.387978</v>
      </c>
      <c r="F76" s="58">
        <f>累计考核费用!G151/10000</f>
        <v>0.671129</v>
      </c>
      <c r="G76" s="58">
        <f>累计考核费用!H151/10000</f>
        <v>0</v>
      </c>
      <c r="H76" s="58">
        <f>累计考核费用!I151/10000</f>
        <v>0</v>
      </c>
      <c r="I76" s="58">
        <f>累计考核费用!J151/10000</f>
        <v>0.185293</v>
      </c>
      <c r="J76" s="58">
        <f>累计考核费用!K151/10000</f>
        <v>0.485836</v>
      </c>
      <c r="K76" s="58">
        <f>累计考核费用!L151/10000</f>
        <v>13.197232</v>
      </c>
      <c r="L76" s="58">
        <f>累计考核费用!M151/10000</f>
        <v>2.682608</v>
      </c>
      <c r="M76" s="58">
        <f>累计考核费用!N151/10000</f>
        <v>2.69488</v>
      </c>
      <c r="N76" s="58">
        <f>累计考核费用!O151/10000</f>
        <v>2.679081</v>
      </c>
      <c r="O76" s="58">
        <f>累计考核费用!P151/10000</f>
        <v>3.264797</v>
      </c>
      <c r="P76" s="58">
        <f>累计考核费用!Q151/10000</f>
        <v>0.45557</v>
      </c>
      <c r="Q76" s="58">
        <f>累计考核费用!R151/10000</f>
        <v>1.420296</v>
      </c>
      <c r="R76" s="58">
        <f>累计考核费用!S151/10000</f>
        <v>51.466867</v>
      </c>
      <c r="S76" s="58">
        <f>累计考核费用!T151/10000</f>
        <v>0</v>
      </c>
      <c r="T76" s="58">
        <f>累计考核费用!U151/10000</f>
        <v>0</v>
      </c>
      <c r="U76" s="58">
        <f>累计考核费用!V151/10000</f>
        <v>0</v>
      </c>
      <c r="V76" s="58">
        <f>累计考核费用!W151/10000</f>
        <v>0</v>
      </c>
      <c r="W76" s="58">
        <f>累计考核费用!X151/10000</f>
        <v>0</v>
      </c>
      <c r="X76" s="58">
        <f>累计考核费用!Y151/10000</f>
        <v>0</v>
      </c>
      <c r="Y76" s="58">
        <f>累计考核费用!Z151/10000</f>
        <v>0</v>
      </c>
      <c r="Z76" s="58">
        <f>累计考核费用!AA151/10000</f>
        <v>0</v>
      </c>
      <c r="AA76" s="58">
        <f>累计考核费用!AB151/10000</f>
        <v>0</v>
      </c>
      <c r="AB76" s="58">
        <f>累计考核费用!AC151/10000</f>
        <v>0</v>
      </c>
      <c r="AC76" s="58">
        <f>累计考核费用!AD151/10000</f>
        <v>0</v>
      </c>
      <c r="AD76" s="58">
        <f>累计考核费用!AE151/10000</f>
        <v>0</v>
      </c>
      <c r="AE76" s="58"/>
      <c r="AF76" s="2">
        <f t="shared" si="1"/>
        <v>1395.56545</v>
      </c>
    </row>
    <row r="77" s="2" customFormat="1" spans="1:32">
      <c r="A77" s="57" t="s">
        <v>137</v>
      </c>
      <c r="B77" s="58">
        <f>累计考核费用!C152/10000</f>
        <v>871.253619</v>
      </c>
      <c r="C77" s="58">
        <f>累计考核费用!D152/10000</f>
        <v>0</v>
      </c>
      <c r="D77" s="58">
        <f>累计考核费用!E152/10000</f>
        <v>359.221638328138</v>
      </c>
      <c r="E77" s="58">
        <f>累计考核费用!F152/10000</f>
        <v>63.258924</v>
      </c>
      <c r="F77" s="58">
        <f>累计考核费用!G152/10000</f>
        <v>118.6635</v>
      </c>
      <c r="G77" s="58">
        <f>累计考核费用!H152/10000</f>
        <v>0</v>
      </c>
      <c r="H77" s="58">
        <f>累计考核费用!I152/10000</f>
        <v>42.1575</v>
      </c>
      <c r="I77" s="58">
        <f>累计考核费用!J152/10000</f>
        <v>36.1951</v>
      </c>
      <c r="J77" s="58">
        <f>累计考核费用!K152/10000</f>
        <v>40.3109</v>
      </c>
      <c r="K77" s="58">
        <f>累计考核费用!L152/10000</f>
        <v>122.338291671756</v>
      </c>
      <c r="L77" s="58">
        <f>累计考核费用!M152/10000</f>
        <v>46.2606142871573</v>
      </c>
      <c r="M77" s="58">
        <f>累计考核费用!N152/10000</f>
        <v>39.3763135187976</v>
      </c>
      <c r="N77" s="58">
        <f>累计考核费用!O152/10000</f>
        <v>36.7013638658009</v>
      </c>
      <c r="O77" s="58">
        <f>累计考核费用!P152/10000</f>
        <v>0</v>
      </c>
      <c r="P77" s="58">
        <f>累计考核费用!Q152/10000</f>
        <v>0</v>
      </c>
      <c r="Q77" s="58">
        <f>累计考核费用!R152/10000</f>
        <v>0</v>
      </c>
      <c r="R77" s="58">
        <f>累计考核费用!S152/10000</f>
        <v>0</v>
      </c>
      <c r="S77" s="58">
        <f>累计考核费用!T152/10000</f>
        <v>207.771265000106</v>
      </c>
      <c r="T77" s="58">
        <f>累计考核费用!U152/10000</f>
        <v>49.5382995587211</v>
      </c>
      <c r="U77" s="58">
        <f>累计考核费用!V152/10000</f>
        <v>58.8261377362426</v>
      </c>
      <c r="V77" s="58">
        <f>累计考核费用!W152/10000</f>
        <v>36.1734568944537</v>
      </c>
      <c r="W77" s="58">
        <f>累计考核费用!X152/10000</f>
        <v>12.1848708106887</v>
      </c>
      <c r="X77" s="58">
        <f>累计考核费用!Y152/10000</f>
        <v>46.0174</v>
      </c>
      <c r="Y77" s="58">
        <f>累计考核费用!Z152/10000</f>
        <v>5.0311</v>
      </c>
      <c r="Z77" s="58">
        <f>累计考核费用!AA152/10000</f>
        <v>0</v>
      </c>
      <c r="AA77" s="58">
        <f>累计考核费用!AB152/10000</f>
        <v>0</v>
      </c>
      <c r="AB77" s="58">
        <f>累计考核费用!AC152/10000</f>
        <v>0.377364</v>
      </c>
      <c r="AC77" s="58">
        <f>累计考核费用!AD152/10000</f>
        <v>0</v>
      </c>
      <c r="AD77" s="58">
        <f>累计考核费用!AE152/10000</f>
        <v>0</v>
      </c>
      <c r="AE77" s="58"/>
      <c r="AF77" s="2">
        <f t="shared" si="1"/>
        <v>359.599002328138</v>
      </c>
    </row>
    <row r="78" s="2" customFormat="1" spans="1:32">
      <c r="A78" s="57" t="s">
        <v>138</v>
      </c>
      <c r="B78" s="58">
        <f>累计考核费用!C153/10000</f>
        <v>865.596452</v>
      </c>
      <c r="C78" s="58">
        <f>累计考核费用!D153/10000</f>
        <v>-61.3649</v>
      </c>
      <c r="D78" s="58">
        <f>累计考核费用!E153/10000</f>
        <v>102.07717280963</v>
      </c>
      <c r="E78" s="58">
        <f>累计考核费用!F153/10000</f>
        <v>670.156932</v>
      </c>
      <c r="F78" s="58">
        <f>累计考核费用!G153/10000</f>
        <v>11.783185</v>
      </c>
      <c r="G78" s="58">
        <f>累计考核费用!H153/10000</f>
        <v>1.066394</v>
      </c>
      <c r="H78" s="58">
        <f>累计考核费用!I153/10000</f>
        <v>0.167026</v>
      </c>
      <c r="I78" s="58">
        <f>累计考核费用!J153/10000</f>
        <v>3.539381</v>
      </c>
      <c r="J78" s="58">
        <f>累计考核费用!K153/10000</f>
        <v>8.076778</v>
      </c>
      <c r="K78" s="58">
        <f>累计考核费用!L153/10000</f>
        <v>141.06222219037</v>
      </c>
      <c r="L78" s="58">
        <f>累计考核费用!M153/10000</f>
        <v>3.030486</v>
      </c>
      <c r="M78" s="58">
        <f>累计考核费用!N153/10000</f>
        <v>2.941951</v>
      </c>
      <c r="N78" s="58">
        <f>累计考核费用!O153/10000</f>
        <v>3.041609</v>
      </c>
      <c r="O78" s="58">
        <f>累计考核费用!P153/10000</f>
        <v>50.2538472886103</v>
      </c>
      <c r="P78" s="58">
        <f>累计考核费用!Q153/10000</f>
        <v>40.8219319729121</v>
      </c>
      <c r="Q78" s="58">
        <f>累计考核费用!R153/10000</f>
        <v>40.9723969288478</v>
      </c>
      <c r="R78" s="58">
        <f>累计考核费用!S153/10000</f>
        <v>3.482061</v>
      </c>
      <c r="S78" s="58">
        <f>累计考核费用!T153/10000</f>
        <v>1.88184</v>
      </c>
      <c r="T78" s="58">
        <f>累计考核费用!U153/10000</f>
        <v>0</v>
      </c>
      <c r="U78" s="58">
        <f>累计考核费用!V153/10000</f>
        <v>0.188004</v>
      </c>
      <c r="V78" s="58">
        <f>累计考核费用!W153/10000</f>
        <v>1.693836</v>
      </c>
      <c r="W78" s="58">
        <f>累计考核费用!X153/10000</f>
        <v>0</v>
      </c>
      <c r="X78" s="58">
        <f>累计考核费用!Y153/10000</f>
        <v>0</v>
      </c>
      <c r="Y78" s="58">
        <f>累计考核费用!Z153/10000</f>
        <v>0</v>
      </c>
      <c r="Z78" s="58">
        <f>累计考核费用!AA153/10000</f>
        <v>0</v>
      </c>
      <c r="AA78" s="58">
        <f>累计考核费用!AB153/10000</f>
        <v>0</v>
      </c>
      <c r="AB78" s="58">
        <f>累计考核费用!AC153/10000</f>
        <v>0</v>
      </c>
      <c r="AC78" s="58">
        <f>累计考核费用!AD153/10000</f>
        <v>0</v>
      </c>
      <c r="AD78" s="58">
        <f>累计考核费用!AE153/10000</f>
        <v>0</v>
      </c>
      <c r="AE78" s="58"/>
      <c r="AF78" s="2">
        <f t="shared" si="1"/>
        <v>103.14356680963</v>
      </c>
    </row>
    <row r="79" s="2" customFormat="1" spans="1:32">
      <c r="A79" s="57" t="s">
        <v>139</v>
      </c>
      <c r="B79" s="58">
        <f>累计考核费用!C154/10000</f>
        <v>109.206193</v>
      </c>
      <c r="C79" s="58">
        <f>累计考核费用!D154/10000</f>
        <v>0</v>
      </c>
      <c r="D79" s="58">
        <f>累计考核费用!E154/10000</f>
        <v>14.575408</v>
      </c>
      <c r="E79" s="58">
        <f>累计考核费用!F154/10000</f>
        <v>75.560009</v>
      </c>
      <c r="F79" s="58">
        <f>累计考核费用!G154/10000</f>
        <v>0.43</v>
      </c>
      <c r="G79" s="58">
        <f>累计考核费用!H154/10000</f>
        <v>1.311256</v>
      </c>
      <c r="H79" s="58">
        <f>累计考核费用!I154/10000</f>
        <v>0.11</v>
      </c>
      <c r="I79" s="58">
        <f>累计考核费用!J154/10000</f>
        <v>0.32</v>
      </c>
      <c r="J79" s="58">
        <f>累计考核费用!K154/10000</f>
        <v>0</v>
      </c>
      <c r="K79" s="58">
        <f>累计考核费用!L154/10000</f>
        <v>18.640776</v>
      </c>
      <c r="L79" s="58">
        <f>累计考核费用!M154/10000</f>
        <v>0</v>
      </c>
      <c r="M79" s="58">
        <f>累计考核费用!N154/10000</f>
        <v>0</v>
      </c>
      <c r="N79" s="58">
        <f>累计考核费用!O154/10000</f>
        <v>0</v>
      </c>
      <c r="O79" s="58">
        <f>累计考核费用!P154/10000</f>
        <v>0</v>
      </c>
      <c r="P79" s="58">
        <f>累计考核费用!Q154/10000</f>
        <v>0</v>
      </c>
      <c r="Q79" s="58">
        <f>累计考核费用!R154/10000</f>
        <v>18.640776</v>
      </c>
      <c r="R79" s="58">
        <f>累计考核费用!S154/10000</f>
        <v>0</v>
      </c>
      <c r="S79" s="58">
        <f>累计考核费用!T154/10000</f>
        <v>0</v>
      </c>
      <c r="T79" s="58">
        <f>累计考核费用!U154/10000</f>
        <v>0</v>
      </c>
      <c r="U79" s="58">
        <f>累计考核费用!V154/10000</f>
        <v>0</v>
      </c>
      <c r="V79" s="58">
        <f>累计考核费用!W154/10000</f>
        <v>0</v>
      </c>
      <c r="W79" s="58">
        <f>累计考核费用!X154/10000</f>
        <v>0</v>
      </c>
      <c r="X79" s="58">
        <f>累计考核费用!Y154/10000</f>
        <v>0</v>
      </c>
      <c r="Y79" s="58">
        <f>累计考核费用!Z154/10000</f>
        <v>0</v>
      </c>
      <c r="Z79" s="58">
        <f>累计考核费用!AA154/10000</f>
        <v>0</v>
      </c>
      <c r="AA79" s="58">
        <f>累计考核费用!AB154/10000</f>
        <v>0</v>
      </c>
      <c r="AB79" s="58">
        <f>累计考核费用!AC154/10000</f>
        <v>0</v>
      </c>
      <c r="AC79" s="58">
        <f>累计考核费用!AD154/10000</f>
        <v>0</v>
      </c>
      <c r="AD79" s="58">
        <f>累计考核费用!AE154/10000</f>
        <v>0</v>
      </c>
      <c r="AE79" s="58"/>
      <c r="AF79" s="2">
        <f t="shared" si="1"/>
        <v>15.886664</v>
      </c>
    </row>
    <row r="80" s="2" customFormat="1" ht="14.25" spans="1:32">
      <c r="A80" s="55" t="s">
        <v>102</v>
      </c>
      <c r="B80" s="58">
        <f>累计考核费用!C155/10000</f>
        <v>11360.512806</v>
      </c>
      <c r="C80" s="58">
        <f>累计考核费用!D155/10000</f>
        <v>-1017.174028</v>
      </c>
      <c r="D80" s="58">
        <f>累计考核费用!E155/10000</f>
        <v>4494.69951113777</v>
      </c>
      <c r="E80" s="58">
        <f>累计考核费用!F155/10000</f>
        <v>6697.958631</v>
      </c>
      <c r="F80" s="58">
        <f>累计考核费用!G155/10000</f>
        <v>259.073622</v>
      </c>
      <c r="G80" s="58">
        <f>累计考核费用!H155/10000</f>
        <v>10.251082</v>
      </c>
      <c r="H80" s="58">
        <f>累计考核费用!I155/10000</f>
        <v>56.248148</v>
      </c>
      <c r="I80" s="58">
        <f>累计考核费用!J155/10000</f>
        <v>75.490048</v>
      </c>
      <c r="J80" s="58">
        <f>累计考核费用!K155/10000</f>
        <v>127.335426</v>
      </c>
      <c r="K80" s="58">
        <f>累计考核费用!L155/10000</f>
        <v>572.508445862126</v>
      </c>
      <c r="L80" s="58">
        <f>累计考核费用!M155/10000</f>
        <v>97.1661742871573</v>
      </c>
      <c r="M80" s="58">
        <f>累计考核费用!N155/10000</f>
        <v>99.6121605187976</v>
      </c>
      <c r="N80" s="58">
        <f>累计考核费用!O155/10000</f>
        <v>81.6618578658009</v>
      </c>
      <c r="O80" s="58">
        <f>累计考核费用!P155/10000</f>
        <v>102.42596628861</v>
      </c>
      <c r="P80" s="58">
        <f>累计考核费用!Q155/10000</f>
        <v>79.0689779729121</v>
      </c>
      <c r="Q80" s="58">
        <f>累计考核费用!R155/10000</f>
        <v>112.573308928848</v>
      </c>
      <c r="R80" s="58">
        <f>累计考核费用!S155/10000</f>
        <v>600.476031</v>
      </c>
      <c r="S80" s="58">
        <f>累计考核费用!T155/10000</f>
        <v>353.446624000106</v>
      </c>
      <c r="T80" s="58">
        <f>累计考核费用!U155/10000</f>
        <v>56.7260555587211</v>
      </c>
      <c r="U80" s="58">
        <f>累计考核费用!V155/10000</f>
        <v>158.776019736243</v>
      </c>
      <c r="V80" s="58">
        <f>累计考核费用!W155/10000</f>
        <v>71.4728158944537</v>
      </c>
      <c r="W80" s="58">
        <f>累计考核费用!X155/10000</f>
        <v>14.7001908106887</v>
      </c>
      <c r="X80" s="58">
        <f>累计考核费用!Y155/10000</f>
        <v>46.614842</v>
      </c>
      <c r="Y80" s="58">
        <f>累计考核费用!Z155/10000</f>
        <v>5.1567</v>
      </c>
      <c r="Z80" s="58">
        <f>累计考核费用!AA155/10000</f>
        <v>0</v>
      </c>
      <c r="AA80" s="58">
        <f>累计考核费用!AB155/10000</f>
        <v>19.258935</v>
      </c>
      <c r="AB80" s="58">
        <f>累计考核费用!AC155/10000</f>
        <v>40.23222</v>
      </c>
      <c r="AC80" s="58">
        <f>累计考核费用!AD155/10000</f>
        <v>0</v>
      </c>
      <c r="AD80" s="58">
        <f>累计考核费用!AE155/10000</f>
        <v>0</v>
      </c>
      <c r="AE80" s="58"/>
      <c r="AF80" s="2">
        <f t="shared" si="1"/>
        <v>4564.44174813777</v>
      </c>
    </row>
    <row r="81" s="2" customFormat="1" ht="14.25" spans="1:32">
      <c r="A81" s="55" t="s">
        <v>4</v>
      </c>
      <c r="B81" s="58">
        <f>累计考核费用!C156/10000</f>
        <v>72941.818897</v>
      </c>
      <c r="C81" s="58">
        <f>累计考核费用!D156/10000</f>
        <v>1377.77066390505</v>
      </c>
      <c r="D81" s="58">
        <f>累计考核费用!E156/10000</f>
        <v>17802.5539251378</v>
      </c>
      <c r="E81" s="58">
        <f>累计考核费用!F156/10000</f>
        <v>36535.0240047925</v>
      </c>
      <c r="F81" s="58">
        <f>累计考核费用!G156/10000</f>
        <v>1671.477393</v>
      </c>
      <c r="G81" s="58">
        <f>累计考核费用!H156/10000</f>
        <v>647.929006</v>
      </c>
      <c r="H81" s="58">
        <f>累计考核费用!I156/10000</f>
        <v>426.618442</v>
      </c>
      <c r="I81" s="58">
        <f>累计考核费用!J156/10000</f>
        <v>533.464188</v>
      </c>
      <c r="J81" s="58">
        <f>累计考核费用!K156/10000</f>
        <v>711.394763</v>
      </c>
      <c r="K81" s="58">
        <f>累计考核费用!L156/10000</f>
        <v>2740.46111116463</v>
      </c>
      <c r="L81" s="58">
        <f>累计考核费用!M156/10000</f>
        <v>357.587964287157</v>
      </c>
      <c r="M81" s="58">
        <f>累计考核费用!N156/10000</f>
        <v>458.624687518798</v>
      </c>
      <c r="N81" s="58">
        <f>累计考核费用!O156/10000</f>
        <v>233.115013865801</v>
      </c>
      <c r="O81" s="58">
        <f>累计考核费用!P156/10000</f>
        <v>797.74348728861</v>
      </c>
      <c r="P81" s="58">
        <f>累计考核费用!Q156/10000</f>
        <v>433.030018972912</v>
      </c>
      <c r="Q81" s="58">
        <f>累计考核费用!R156/10000</f>
        <v>460.359939231348</v>
      </c>
      <c r="R81" s="58">
        <f>累计考核费用!S156/10000</f>
        <v>936.088863</v>
      </c>
      <c r="S81" s="58">
        <f>累计考核费用!T156/10000</f>
        <v>12814.5317990001</v>
      </c>
      <c r="T81" s="58">
        <f>累计考核费用!U156/10000</f>
        <v>1169.85787155872</v>
      </c>
      <c r="U81" s="58">
        <f>累计考核费用!V156/10000</f>
        <v>8537.13875873624</v>
      </c>
      <c r="V81" s="58">
        <f>累计考核费用!W156/10000</f>
        <v>2296.35402189445</v>
      </c>
      <c r="W81" s="58">
        <f>累计考核费用!X156/10000</f>
        <v>359.470478810689</v>
      </c>
      <c r="X81" s="58">
        <f>累计考核费用!Y156/10000</f>
        <v>284.740637</v>
      </c>
      <c r="Y81" s="58">
        <f>累计考核费用!Z156/10000</f>
        <v>67.608911</v>
      </c>
      <c r="Z81" s="58">
        <f>累计考核费用!AA156/10000</f>
        <v>99.36112</v>
      </c>
      <c r="AA81" s="58">
        <f>累计考核费用!AB156/10000</f>
        <v>752.681734</v>
      </c>
      <c r="AB81" s="58">
        <f>累计考核费用!AC156/10000</f>
        <v>837.973739</v>
      </c>
      <c r="AC81" s="58">
        <f>累计考核费用!AD156/10000</f>
        <v>0</v>
      </c>
      <c r="AD81" s="58">
        <f>累计考核费用!AE156/10000</f>
        <v>0</v>
      </c>
      <c r="AE81" s="58"/>
      <c r="AF81" s="2">
        <f t="shared" si="1"/>
        <v>20041.1384041378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累计利润调整表</vt:lpstr>
      <vt:lpstr>累计考核费用</vt:lpstr>
      <vt:lpstr>分部报表</vt:lpstr>
      <vt:lpstr>费用表</vt:lpstr>
      <vt:lpstr>考核调整事项表</vt:lpstr>
      <vt:lpstr>资金</vt:lpstr>
      <vt:lpstr>Sheet1</vt:lpstr>
      <vt:lpstr>分部报表（费用）</vt:lpstr>
      <vt:lpstr>调整后万元版</vt:lpstr>
      <vt:lpstr>原格式费用考核表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Administrator</cp:lastModifiedBy>
  <dcterms:created xsi:type="dcterms:W3CDTF">2015-03-04T01:18:00Z</dcterms:created>
  <cp:lastPrinted>2018-01-04T08:42:00Z</cp:lastPrinted>
  <dcterms:modified xsi:type="dcterms:W3CDTF">2019-09-24T07:57:45Z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