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LORADO\pyRackingLoad\"/>
    </mc:Choice>
  </mc:AlternateContent>
  <xr:revisionPtr revIDLastSave="0" documentId="13_ncr:1_{B94FF764-6903-42F4-B12C-818AB33E5EA5}" xr6:coauthVersionLast="36" xr6:coauthVersionMax="36" xr10:uidLastSave="{00000000-0000-0000-0000-000000000000}"/>
  <bookViews>
    <workbookView xWindow="0" yWindow="0" windowWidth="16380" windowHeight="8190" tabRatio="500" activeTab="5" xr2:uid="{00000000-000D-0000-FFFF-FFFF00000000}"/>
  </bookViews>
  <sheets>
    <sheet name="MainDimension" sheetId="14" r:id="rId1"/>
    <sheet name="CargoLoading" sheetId="6" r:id="rId2"/>
    <sheet name="DeckLoading" sheetId="3" r:id="rId3"/>
    <sheet name="Sheet2" sheetId="4" r:id="rId4"/>
    <sheet name="DeckLoading_2" sheetId="5" r:id="rId5"/>
    <sheet name="위치정보" sheetId="7" r:id="rId6"/>
    <sheet name="DeckLoading (2)" sheetId="8" r:id="rId7"/>
    <sheet name="Sheet5" sheetId="13" r:id="rId8"/>
    <sheet name="Sheet3" sheetId="9" r:id="rId9"/>
    <sheet name="HGL" sheetId="10" r:id="rId10"/>
    <sheet name="Detail of Car Loading" sheetId="11" r:id="rId11"/>
    <sheet name="Sheet1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4" l="1"/>
  <c r="E16" i="14"/>
  <c r="E17" i="14"/>
  <c r="E18" i="14"/>
  <c r="E19" i="14"/>
  <c r="E20" i="14"/>
  <c r="E21" i="14"/>
  <c r="E22" i="14"/>
  <c r="E23" i="14"/>
  <c r="E24" i="14"/>
  <c r="E25" i="14"/>
  <c r="E26" i="14"/>
  <c r="E14" i="14"/>
  <c r="C27" i="14"/>
  <c r="F7" i="6"/>
  <c r="E7" i="6"/>
  <c r="G7" i="6"/>
  <c r="K32" i="6" l="1"/>
  <c r="K36" i="6"/>
  <c r="K38" i="6"/>
  <c r="G39" i="6" l="1"/>
  <c r="F39" i="6"/>
  <c r="E39" i="6"/>
  <c r="C7" i="5" l="1"/>
  <c r="H10" i="5"/>
  <c r="K11" i="5"/>
  <c r="K10" i="5"/>
  <c r="K9" i="5"/>
  <c r="K8" i="5"/>
  <c r="K7" i="5"/>
  <c r="H7" i="5"/>
  <c r="H11" i="5"/>
  <c r="H9" i="5"/>
  <c r="H8" i="5"/>
  <c r="C8" i="5"/>
  <c r="R37" i="6"/>
  <c r="Q38" i="6"/>
  <c r="Q37" i="6"/>
  <c r="Q32" i="6"/>
  <c r="B74" i="12" l="1"/>
  <c r="E51" i="12"/>
  <c r="G50" i="12"/>
  <c r="E49" i="12"/>
  <c r="G48" i="12"/>
  <c r="E47" i="12"/>
  <c r="G46" i="12"/>
  <c r="E45" i="12"/>
  <c r="G44" i="12"/>
  <c r="E43" i="12"/>
  <c r="G42" i="12"/>
  <c r="E41" i="12"/>
  <c r="G40" i="12"/>
  <c r="E39" i="12"/>
  <c r="G38" i="12"/>
  <c r="E37" i="12"/>
  <c r="G36" i="12"/>
  <c r="E35" i="12"/>
  <c r="G34" i="12"/>
  <c r="E33" i="12"/>
  <c r="G32" i="12"/>
  <c r="E31" i="12"/>
  <c r="G30" i="12"/>
  <c r="E29" i="12"/>
  <c r="G28" i="12"/>
  <c r="F62" i="11"/>
  <c r="E62" i="11"/>
  <c r="D62" i="11"/>
  <c r="C62" i="11"/>
  <c r="G61" i="11"/>
  <c r="G60" i="11"/>
  <c r="G59" i="11"/>
  <c r="G58" i="11"/>
  <c r="G57" i="11"/>
  <c r="G56" i="11"/>
  <c r="G55" i="11"/>
  <c r="G54" i="11"/>
  <c r="G53" i="11"/>
  <c r="G52" i="11"/>
  <c r="G51" i="11"/>
  <c r="G62" i="11" s="1"/>
  <c r="F47" i="11"/>
  <c r="E47" i="11"/>
  <c r="D47" i="11"/>
  <c r="C47" i="11"/>
  <c r="G46" i="11"/>
  <c r="G45" i="11"/>
  <c r="G44" i="11"/>
  <c r="G43" i="11"/>
  <c r="G42" i="11"/>
  <c r="G41" i="11"/>
  <c r="G40" i="11"/>
  <c r="G39" i="11"/>
  <c r="G38" i="11"/>
  <c r="G37" i="11"/>
  <c r="G47" i="11" s="1"/>
  <c r="G36" i="11"/>
  <c r="F30" i="11"/>
  <c r="E30" i="11"/>
  <c r="D30" i="11"/>
  <c r="C30" i="11"/>
  <c r="G29" i="11"/>
  <c r="G28" i="11"/>
  <c r="G27" i="11"/>
  <c r="G26" i="11"/>
  <c r="G25" i="11"/>
  <c r="G24" i="11"/>
  <c r="G23" i="11"/>
  <c r="G22" i="11"/>
  <c r="G21" i="11"/>
  <c r="G20" i="11"/>
  <c r="G30" i="11" s="1"/>
  <c r="G19" i="11"/>
  <c r="F15" i="11"/>
  <c r="E15" i="11"/>
  <c r="D15" i="11"/>
  <c r="C15" i="11"/>
  <c r="G14" i="11"/>
  <c r="G13" i="11"/>
  <c r="G12" i="11"/>
  <c r="G11" i="11"/>
  <c r="G10" i="11"/>
  <c r="G9" i="11"/>
  <c r="G8" i="11"/>
  <c r="G7" i="11"/>
  <c r="G6" i="11"/>
  <c r="G5" i="11"/>
  <c r="G4" i="11"/>
  <c r="V12" i="10"/>
  <c r="V11" i="10"/>
  <c r="E4" i="9"/>
  <c r="D4" i="9"/>
  <c r="M66" i="8"/>
  <c r="L66" i="8"/>
  <c r="K66" i="8"/>
  <c r="J66" i="8"/>
  <c r="I66" i="8"/>
  <c r="H66" i="8"/>
  <c r="G66" i="8"/>
  <c r="F66" i="8"/>
  <c r="E66" i="8"/>
  <c r="D66" i="8"/>
  <c r="C66" i="8"/>
  <c r="B66" i="8"/>
  <c r="M49" i="8"/>
  <c r="L49" i="8"/>
  <c r="K49" i="8"/>
  <c r="J49" i="8"/>
  <c r="I49" i="8"/>
  <c r="H49" i="8"/>
  <c r="G49" i="8"/>
  <c r="F49" i="8"/>
  <c r="E49" i="8"/>
  <c r="D49" i="8"/>
  <c r="C49" i="8"/>
  <c r="B49" i="8"/>
  <c r="L32" i="8"/>
  <c r="L31" i="8"/>
  <c r="L30" i="8"/>
  <c r="L29" i="8"/>
  <c r="L28" i="8"/>
  <c r="L27" i="8"/>
  <c r="L26" i="8"/>
  <c r="L25" i="8"/>
  <c r="L24" i="8"/>
  <c r="L23" i="8"/>
  <c r="L22" i="8"/>
  <c r="L21" i="8"/>
  <c r="B16" i="8"/>
  <c r="B15" i="8"/>
  <c r="B14" i="8"/>
  <c r="B13" i="8"/>
  <c r="B12" i="8"/>
  <c r="K11" i="8"/>
  <c r="C11" i="8" s="1"/>
  <c r="H11" i="8"/>
  <c r="H10" i="8"/>
  <c r="K10" i="8" s="1"/>
  <c r="C10" i="8"/>
  <c r="H9" i="8"/>
  <c r="K9" i="8" s="1"/>
  <c r="C9" i="8" s="1"/>
  <c r="H8" i="8"/>
  <c r="K8" i="8" s="1"/>
  <c r="C8" i="8" s="1"/>
  <c r="H7" i="8"/>
  <c r="K7" i="8" s="1"/>
  <c r="C7" i="8"/>
  <c r="K6" i="8"/>
  <c r="C6" i="8"/>
  <c r="B30" i="7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Q15" i="7"/>
  <c r="O15" i="7"/>
  <c r="M15" i="7"/>
  <c r="O14" i="7"/>
  <c r="M14" i="7"/>
  <c r="Q14" i="7" s="1"/>
  <c r="Q13" i="7"/>
  <c r="O13" i="7"/>
  <c r="M13" i="7"/>
  <c r="B13" i="7"/>
  <c r="B12" i="7" s="1"/>
  <c r="O12" i="7"/>
  <c r="M12" i="7"/>
  <c r="Q12" i="7" s="1"/>
  <c r="O11" i="7"/>
  <c r="M11" i="7"/>
  <c r="Q11" i="7" s="1"/>
  <c r="B11" i="7"/>
  <c r="B10" i="7" s="1"/>
  <c r="B9" i="7" s="1"/>
  <c r="B8" i="7" s="1"/>
  <c r="Q10" i="7"/>
  <c r="O10" i="7"/>
  <c r="M10" i="7"/>
  <c r="O9" i="7"/>
  <c r="M9" i="7"/>
  <c r="Q9" i="7" s="1"/>
  <c r="O8" i="7"/>
  <c r="M8" i="7"/>
  <c r="Q8" i="7" s="1"/>
  <c r="O7" i="7"/>
  <c r="M7" i="7"/>
  <c r="Q7" i="7" s="1"/>
  <c r="B7" i="7"/>
  <c r="B6" i="7" s="1"/>
  <c r="B5" i="7" s="1"/>
  <c r="B4" i="7" s="1"/>
  <c r="Q6" i="7"/>
  <c r="O6" i="7"/>
  <c r="M6" i="7"/>
  <c r="O5" i="7"/>
  <c r="M5" i="7"/>
  <c r="Q5" i="7" s="1"/>
  <c r="Q4" i="7"/>
  <c r="O4" i="7"/>
  <c r="M4" i="7"/>
  <c r="O3" i="7"/>
  <c r="M3" i="7"/>
  <c r="Q3" i="7" s="1"/>
  <c r="Q2" i="7"/>
  <c r="O2" i="7"/>
  <c r="M2" i="7"/>
  <c r="Y38" i="6"/>
  <c r="Z38" i="6" s="1"/>
  <c r="U38" i="6"/>
  <c r="X38" i="6" s="1"/>
  <c r="P38" i="6"/>
  <c r="U37" i="6"/>
  <c r="X37" i="6" s="1"/>
  <c r="Y37" i="6"/>
  <c r="Z37" i="6" s="1"/>
  <c r="P37" i="6"/>
  <c r="Y36" i="6"/>
  <c r="Z36" i="6" s="1"/>
  <c r="U36" i="6"/>
  <c r="X36" i="6" s="1"/>
  <c r="Y35" i="6"/>
  <c r="Z35" i="6" s="1"/>
  <c r="U35" i="6"/>
  <c r="X35" i="6" s="1"/>
  <c r="Y34" i="6"/>
  <c r="Z34" i="6" s="1"/>
  <c r="U34" i="6"/>
  <c r="X34" i="6" s="1"/>
  <c r="Y33" i="6"/>
  <c r="Z33" i="6" s="1"/>
  <c r="U33" i="6"/>
  <c r="X33" i="6" s="1"/>
  <c r="Y32" i="6"/>
  <c r="Z32" i="6" s="1"/>
  <c r="U32" i="6"/>
  <c r="X32" i="6" s="1"/>
  <c r="P32" i="6"/>
  <c r="Y31" i="6"/>
  <c r="Z31" i="6" s="1"/>
  <c r="U31" i="6"/>
  <c r="X31" i="6" s="1"/>
  <c r="Y30" i="6"/>
  <c r="Z30" i="6" s="1"/>
  <c r="U30" i="6"/>
  <c r="X30" i="6" s="1"/>
  <c r="M66" i="5"/>
  <c r="L66" i="5"/>
  <c r="K66" i="5"/>
  <c r="J66" i="5"/>
  <c r="I66" i="5"/>
  <c r="H66" i="5"/>
  <c r="G66" i="5"/>
  <c r="F66" i="5"/>
  <c r="E66" i="5"/>
  <c r="D66" i="5"/>
  <c r="C66" i="5"/>
  <c r="B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M49" i="5"/>
  <c r="L49" i="5"/>
  <c r="K49" i="5"/>
  <c r="J49" i="5"/>
  <c r="I49" i="5"/>
  <c r="H49" i="5"/>
  <c r="G49" i="5"/>
  <c r="F49" i="5"/>
  <c r="E49" i="5"/>
  <c r="D49" i="5"/>
  <c r="C49" i="5"/>
  <c r="B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F32" i="5"/>
  <c r="F31" i="5"/>
  <c r="F30" i="5"/>
  <c r="F29" i="5"/>
  <c r="F28" i="5"/>
  <c r="F27" i="5"/>
  <c r="F26" i="5"/>
  <c r="F25" i="5"/>
  <c r="F24" i="5"/>
  <c r="F23" i="5"/>
  <c r="F22" i="5"/>
  <c r="F21" i="5"/>
  <c r="B16" i="5"/>
  <c r="B15" i="5"/>
  <c r="B14" i="5"/>
  <c r="B13" i="5"/>
  <c r="B12" i="5"/>
  <c r="C11" i="5"/>
  <c r="C10" i="5"/>
  <c r="P9" i="5"/>
  <c r="C9" i="5"/>
  <c r="K6" i="5"/>
  <c r="C6" i="5" s="1"/>
  <c r="C113" i="3"/>
  <c r="B113" i="3"/>
  <c r="D107" i="3"/>
  <c r="E107" i="3" s="1"/>
  <c r="F107" i="3" s="1"/>
  <c r="H107" i="3" s="1"/>
  <c r="D97" i="3"/>
  <c r="E97" i="3" s="1"/>
  <c r="F97" i="3" s="1"/>
  <c r="H97" i="3" s="1"/>
  <c r="D91" i="3"/>
  <c r="E91" i="3" s="1"/>
  <c r="F91" i="3" s="1"/>
  <c r="H91" i="3" s="1"/>
  <c r="C86" i="3"/>
  <c r="B86" i="3"/>
  <c r="D85" i="3"/>
  <c r="E85" i="3" s="1"/>
  <c r="F85" i="3" s="1"/>
  <c r="H85" i="3" s="1"/>
  <c r="H84" i="3"/>
  <c r="D84" i="3"/>
  <c r="E84" i="3" s="1"/>
  <c r="F84" i="3" s="1"/>
  <c r="D83" i="3"/>
  <c r="E83" i="3" s="1"/>
  <c r="F83" i="3" s="1"/>
  <c r="H83" i="3" s="1"/>
  <c r="E82" i="3"/>
  <c r="F82" i="3" s="1"/>
  <c r="H82" i="3" s="1"/>
  <c r="D82" i="3"/>
  <c r="D81" i="3"/>
  <c r="E81" i="3" s="1"/>
  <c r="F81" i="3" s="1"/>
  <c r="H81" i="3" s="1"/>
  <c r="D80" i="3"/>
  <c r="E80" i="3" s="1"/>
  <c r="F80" i="3" s="1"/>
  <c r="H80" i="3" s="1"/>
  <c r="E79" i="3"/>
  <c r="F79" i="3" s="1"/>
  <c r="H79" i="3" s="1"/>
  <c r="D79" i="3"/>
  <c r="D78" i="3"/>
  <c r="E78" i="3" s="1"/>
  <c r="F78" i="3" s="1"/>
  <c r="H78" i="3" s="1"/>
  <c r="E77" i="3"/>
  <c r="F77" i="3" s="1"/>
  <c r="H77" i="3" s="1"/>
  <c r="D77" i="3"/>
  <c r="D76" i="3"/>
  <c r="E76" i="3" s="1"/>
  <c r="F76" i="3" s="1"/>
  <c r="H76" i="3" s="1"/>
  <c r="D75" i="3"/>
  <c r="E75" i="3" s="1"/>
  <c r="F75" i="3" s="1"/>
  <c r="H75" i="3" s="1"/>
  <c r="F74" i="3"/>
  <c r="H74" i="3" s="1"/>
  <c r="E74" i="3"/>
  <c r="D74" i="3"/>
  <c r="D73" i="3"/>
  <c r="E73" i="3" s="1"/>
  <c r="F73" i="3" s="1"/>
  <c r="H73" i="3" s="1"/>
  <c r="D72" i="3"/>
  <c r="E72" i="3" s="1"/>
  <c r="F72" i="3" s="1"/>
  <c r="H72" i="3" s="1"/>
  <c r="H71" i="3"/>
  <c r="D71" i="3"/>
  <c r="E71" i="3" s="1"/>
  <c r="F71" i="3" s="1"/>
  <c r="D70" i="3"/>
  <c r="E70" i="3" s="1"/>
  <c r="F70" i="3" s="1"/>
  <c r="H70" i="3" s="1"/>
  <c r="E69" i="3"/>
  <c r="F69" i="3" s="1"/>
  <c r="H69" i="3" s="1"/>
  <c r="D69" i="3"/>
  <c r="E68" i="3"/>
  <c r="F68" i="3" s="1"/>
  <c r="H68" i="3" s="1"/>
  <c r="D68" i="3"/>
  <c r="D67" i="3"/>
  <c r="E67" i="3" s="1"/>
  <c r="F67" i="3" s="1"/>
  <c r="H67" i="3" s="1"/>
  <c r="D66" i="3"/>
  <c r="E66" i="3" s="1"/>
  <c r="F66" i="3" s="1"/>
  <c r="H66" i="3" s="1"/>
  <c r="D65" i="3"/>
  <c r="E65" i="3" s="1"/>
  <c r="F65" i="3" s="1"/>
  <c r="H65" i="3" s="1"/>
  <c r="H64" i="3"/>
  <c r="D64" i="3"/>
  <c r="E64" i="3" s="1"/>
  <c r="F64" i="3" s="1"/>
  <c r="D63" i="3"/>
  <c r="E63" i="3" s="1"/>
  <c r="F63" i="3" s="1"/>
  <c r="H63" i="3" s="1"/>
  <c r="D62" i="3"/>
  <c r="E62" i="3" s="1"/>
  <c r="F62" i="3" s="1"/>
  <c r="H62" i="3" s="1"/>
  <c r="E61" i="3"/>
  <c r="F61" i="3" s="1"/>
  <c r="H61" i="3" s="1"/>
  <c r="D61" i="3"/>
  <c r="E60" i="3"/>
  <c r="D60" i="3"/>
  <c r="G57" i="3"/>
  <c r="F57" i="3"/>
  <c r="G56" i="3"/>
  <c r="F56" i="3"/>
  <c r="G55" i="3"/>
  <c r="F55" i="3"/>
  <c r="I54" i="3"/>
  <c r="K54" i="3" s="1"/>
  <c r="G54" i="3"/>
  <c r="F54" i="3"/>
  <c r="I53" i="3"/>
  <c r="K53" i="3" s="1"/>
  <c r="G53" i="3"/>
  <c r="F53" i="3"/>
  <c r="K52" i="3"/>
  <c r="I52" i="3"/>
  <c r="G52" i="3"/>
  <c r="F52" i="3"/>
  <c r="I51" i="3"/>
  <c r="J51" i="3" s="1"/>
  <c r="G51" i="3"/>
  <c r="F51" i="3"/>
  <c r="I50" i="3"/>
  <c r="K50" i="3" s="1"/>
  <c r="G50" i="3"/>
  <c r="F50" i="3"/>
  <c r="K49" i="3"/>
  <c r="J49" i="3"/>
  <c r="I49" i="3"/>
  <c r="G49" i="3"/>
  <c r="F49" i="3"/>
  <c r="I48" i="3"/>
  <c r="K48" i="3" s="1"/>
  <c r="G48" i="3"/>
  <c r="F48" i="3"/>
  <c r="J47" i="3"/>
  <c r="I47" i="3"/>
  <c r="K47" i="3" s="1"/>
  <c r="G47" i="3"/>
  <c r="F47" i="3"/>
  <c r="I46" i="3"/>
  <c r="K46" i="3" s="1"/>
  <c r="G46" i="3"/>
  <c r="F46" i="3"/>
  <c r="G45" i="3"/>
  <c r="F45" i="3"/>
  <c r="L41" i="3"/>
  <c r="K41" i="3"/>
  <c r="J41" i="3"/>
  <c r="I41" i="3"/>
  <c r="H41" i="3"/>
  <c r="G41" i="3"/>
  <c r="F41" i="3"/>
  <c r="E41" i="3"/>
  <c r="D41" i="3"/>
  <c r="C41" i="3"/>
  <c r="B41" i="3"/>
  <c r="N35" i="3"/>
  <c r="O35" i="3" s="1"/>
  <c r="L33" i="3"/>
  <c r="K33" i="3"/>
  <c r="J33" i="3"/>
  <c r="I33" i="3"/>
  <c r="H33" i="3"/>
  <c r="G33" i="3"/>
  <c r="F33" i="3"/>
  <c r="E33" i="3"/>
  <c r="D33" i="3"/>
  <c r="C33" i="3"/>
  <c r="B33" i="3"/>
  <c r="O32" i="3"/>
  <c r="M32" i="3"/>
  <c r="N32" i="3" s="1"/>
  <c r="M31" i="3"/>
  <c r="N31" i="3" s="1"/>
  <c r="M30" i="3"/>
  <c r="N30" i="3" s="1"/>
  <c r="M29" i="3"/>
  <c r="N29" i="3" s="1"/>
  <c r="M28" i="3"/>
  <c r="N28" i="3" s="1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D10" i="3"/>
  <c r="C10" i="3"/>
  <c r="J8" i="3"/>
  <c r="L8" i="3" s="1"/>
  <c r="H8" i="3"/>
  <c r="D8" i="3"/>
  <c r="F7" i="3"/>
  <c r="D7" i="3"/>
  <c r="F6" i="3"/>
  <c r="D6" i="3"/>
  <c r="F5" i="3"/>
  <c r="D5" i="3"/>
  <c r="F4" i="3"/>
  <c r="F8" i="3" s="1"/>
  <c r="F10" i="3" s="1"/>
  <c r="G10" i="3" s="1"/>
  <c r="D4" i="3"/>
  <c r="A3" i="7" l="1"/>
  <c r="B2" i="7"/>
  <c r="E86" i="3"/>
  <c r="J48" i="3"/>
  <c r="K51" i="3"/>
  <c r="N66" i="5"/>
  <c r="J54" i="3"/>
  <c r="D112" i="3"/>
  <c r="E112" i="3" s="1"/>
  <c r="F112" i="3" s="1"/>
  <c r="H112" i="3" s="1"/>
  <c r="D110" i="3"/>
  <c r="E110" i="3" s="1"/>
  <c r="F110" i="3" s="1"/>
  <c r="H110" i="3" s="1"/>
  <c r="D108" i="3"/>
  <c r="E108" i="3" s="1"/>
  <c r="F108" i="3" s="1"/>
  <c r="H108" i="3" s="1"/>
  <c r="D106" i="3"/>
  <c r="E106" i="3" s="1"/>
  <c r="F106" i="3" s="1"/>
  <c r="H106" i="3" s="1"/>
  <c r="D104" i="3"/>
  <c r="E104" i="3" s="1"/>
  <c r="F104" i="3" s="1"/>
  <c r="H104" i="3" s="1"/>
  <c r="D102" i="3"/>
  <c r="E102" i="3" s="1"/>
  <c r="F102" i="3" s="1"/>
  <c r="H102" i="3" s="1"/>
  <c r="D100" i="3"/>
  <c r="E100" i="3" s="1"/>
  <c r="F100" i="3" s="1"/>
  <c r="H100" i="3" s="1"/>
  <c r="D98" i="3"/>
  <c r="E98" i="3" s="1"/>
  <c r="F98" i="3" s="1"/>
  <c r="H98" i="3" s="1"/>
  <c r="D96" i="3"/>
  <c r="E96" i="3" s="1"/>
  <c r="F96" i="3" s="1"/>
  <c r="H96" i="3" s="1"/>
  <c r="D94" i="3"/>
  <c r="E94" i="3" s="1"/>
  <c r="F94" i="3" s="1"/>
  <c r="H94" i="3" s="1"/>
  <c r="D92" i="3"/>
  <c r="E92" i="3" s="1"/>
  <c r="F92" i="3" s="1"/>
  <c r="H92" i="3" s="1"/>
  <c r="D90" i="3"/>
  <c r="E90" i="3" s="1"/>
  <c r="F90" i="3" s="1"/>
  <c r="H90" i="3" s="1"/>
  <c r="D105" i="3"/>
  <c r="E105" i="3" s="1"/>
  <c r="F105" i="3" s="1"/>
  <c r="H105" i="3" s="1"/>
  <c r="D89" i="3"/>
  <c r="E89" i="3" s="1"/>
  <c r="D111" i="3"/>
  <c r="E111" i="3" s="1"/>
  <c r="F111" i="3" s="1"/>
  <c r="H111" i="3" s="1"/>
  <c r="D95" i="3"/>
  <c r="E95" i="3" s="1"/>
  <c r="F95" i="3" s="1"/>
  <c r="H95" i="3" s="1"/>
  <c r="D101" i="3"/>
  <c r="E101" i="3" s="1"/>
  <c r="F101" i="3" s="1"/>
  <c r="H101" i="3" s="1"/>
  <c r="N49" i="5"/>
  <c r="D93" i="3"/>
  <c r="E93" i="3" s="1"/>
  <c r="F93" i="3" s="1"/>
  <c r="H93" i="3" s="1"/>
  <c r="D103" i="3"/>
  <c r="E103" i="3" s="1"/>
  <c r="F103" i="3" s="1"/>
  <c r="H103" i="3" s="1"/>
  <c r="C17" i="8"/>
  <c r="F60" i="3"/>
  <c r="D99" i="3"/>
  <c r="E99" i="3" s="1"/>
  <c r="F99" i="3" s="1"/>
  <c r="H99" i="3" s="1"/>
  <c r="D109" i="3"/>
  <c r="E109" i="3" s="1"/>
  <c r="F109" i="3" s="1"/>
  <c r="H109" i="3" s="1"/>
  <c r="G15" i="11"/>
  <c r="C17" i="5"/>
  <c r="J46" i="3"/>
  <c r="J53" i="3"/>
  <c r="F86" i="3" l="1"/>
  <c r="H60" i="3"/>
  <c r="E113" i="3"/>
  <c r="F113" i="3" s="1"/>
  <c r="F89" i="3"/>
  <c r="H89" i="3" s="1"/>
  <c r="E53" i="7"/>
  <c r="F53" i="7" s="1"/>
  <c r="E45" i="7"/>
  <c r="F45" i="7" s="1"/>
  <c r="E37" i="7"/>
  <c r="F37" i="7" s="1"/>
  <c r="E29" i="7"/>
  <c r="F29" i="7" s="1"/>
  <c r="E25" i="7"/>
  <c r="F25" i="7" s="1"/>
  <c r="E21" i="7"/>
  <c r="F21" i="7" s="1"/>
  <c r="E17" i="7"/>
  <c r="F17" i="7" s="1"/>
  <c r="N37" i="6"/>
  <c r="O33" i="6"/>
  <c r="O32" i="6"/>
  <c r="N31" i="6"/>
  <c r="N9" i="6"/>
  <c r="E50" i="7"/>
  <c r="F50" i="7" s="1"/>
  <c r="E42" i="7"/>
  <c r="F42" i="7" s="1"/>
  <c r="E34" i="7"/>
  <c r="F34" i="7" s="1"/>
  <c r="E13" i="7"/>
  <c r="F13" i="7" s="1"/>
  <c r="E9" i="7"/>
  <c r="F9" i="7" s="1"/>
  <c r="E5" i="7"/>
  <c r="F5" i="7" s="1"/>
  <c r="N33" i="6"/>
  <c r="N32" i="6"/>
  <c r="E47" i="7"/>
  <c r="F47" i="7" s="1"/>
  <c r="E39" i="7"/>
  <c r="F39" i="7" s="1"/>
  <c r="E31" i="7"/>
  <c r="F31" i="7" s="1"/>
  <c r="E28" i="7"/>
  <c r="F28" i="7" s="1"/>
  <c r="E24" i="7"/>
  <c r="F24" i="7" s="1"/>
  <c r="E20" i="7"/>
  <c r="F20" i="7" s="1"/>
  <c r="E16" i="7"/>
  <c r="F16" i="7" s="1"/>
  <c r="O34" i="6"/>
  <c r="E49" i="7"/>
  <c r="F49" i="7" s="1"/>
  <c r="E36" i="7"/>
  <c r="F36" i="7" s="1"/>
  <c r="E27" i="7"/>
  <c r="F27" i="7" s="1"/>
  <c r="E10" i="7"/>
  <c r="F10" i="7" s="1"/>
  <c r="O9" i="6"/>
  <c r="E44" i="7"/>
  <c r="F44" i="7" s="1"/>
  <c r="E32" i="7"/>
  <c r="F32" i="7" s="1"/>
  <c r="E8" i="7"/>
  <c r="F8" i="7" s="1"/>
  <c r="O36" i="6"/>
  <c r="E52" i="7"/>
  <c r="F52" i="7" s="1"/>
  <c r="E40" i="7"/>
  <c r="F40" i="7" s="1"/>
  <c r="E26" i="7"/>
  <c r="F26" i="7" s="1"/>
  <c r="E19" i="7"/>
  <c r="F19" i="7" s="1"/>
  <c r="E15" i="7"/>
  <c r="F15" i="7" s="1"/>
  <c r="E6" i="7"/>
  <c r="F6" i="7" s="1"/>
  <c r="N36" i="6"/>
  <c r="O31" i="6"/>
  <c r="E48" i="7"/>
  <c r="F48" i="7" s="1"/>
  <c r="E35" i="7"/>
  <c r="F35" i="7" s="1"/>
  <c r="E33" i="7"/>
  <c r="F33" i="7" s="1"/>
  <c r="O38" i="6"/>
  <c r="E22" i="7"/>
  <c r="F22" i="7" s="1"/>
  <c r="O30" i="6"/>
  <c r="E46" i="7"/>
  <c r="F46" i="7" s="1"/>
  <c r="N30" i="6"/>
  <c r="E43" i="7"/>
  <c r="F43" i="7" s="1"/>
  <c r="E3" i="7"/>
  <c r="F3" i="7" s="1"/>
  <c r="E41" i="7"/>
  <c r="F41" i="7" s="1"/>
  <c r="E23" i="7"/>
  <c r="F23" i="7" s="1"/>
  <c r="E11" i="7"/>
  <c r="F11" i="7" s="1"/>
  <c r="N38" i="6"/>
  <c r="E38" i="7"/>
  <c r="F38" i="7" s="1"/>
  <c r="E14" i="7"/>
  <c r="F14" i="7" s="1"/>
  <c r="E12" i="7"/>
  <c r="F12" i="7" s="1"/>
  <c r="O35" i="6"/>
  <c r="E51" i="7"/>
  <c r="F51" i="7" s="1"/>
  <c r="O37" i="6"/>
  <c r="E4" i="7"/>
  <c r="F4" i="7" s="1"/>
  <c r="E2" i="7"/>
  <c r="F2" i="7" s="1"/>
  <c r="N34" i="6"/>
  <c r="E30" i="7"/>
  <c r="F30" i="7" s="1"/>
  <c r="E18" i="7"/>
  <c r="F18" i="7" s="1"/>
  <c r="E7" i="7"/>
  <c r="F7" i="7" s="1"/>
  <c r="N35" i="6"/>
  <c r="B46" i="3" l="1"/>
  <c r="B48" i="3"/>
  <c r="B49" i="3"/>
  <c r="B53" i="3"/>
  <c r="B52" i="3"/>
  <c r="B56" i="3"/>
  <c r="B54" i="3"/>
  <c r="B47" i="3"/>
  <c r="B50" i="3"/>
  <c r="B51" i="3"/>
  <c r="B55" i="3"/>
  <c r="B45" i="3"/>
  <c r="B57" i="3"/>
</calcChain>
</file>

<file path=xl/sharedStrings.xml><?xml version="1.0" encoding="utf-8"?>
<sst xmlns="http://schemas.openxmlformats.org/spreadsheetml/2006/main" count="683" uniqueCount="293">
  <si>
    <t>FEM</t>
  </si>
  <si>
    <t>kN</t>
  </si>
  <si>
    <t>ton</t>
  </si>
  <si>
    <t>6S</t>
  </si>
  <si>
    <t>8S</t>
  </si>
  <si>
    <t>P</t>
  </si>
  <si>
    <t>1S</t>
  </si>
  <si>
    <t>2S</t>
  </si>
  <si>
    <t>3S</t>
  </si>
  <si>
    <t>4S</t>
  </si>
  <si>
    <t>5S</t>
  </si>
  <si>
    <t>7S</t>
  </si>
  <si>
    <t>9S</t>
  </si>
  <si>
    <t>10S</t>
  </si>
  <si>
    <t>11S</t>
  </si>
  <si>
    <t>12S</t>
  </si>
  <si>
    <t>NODE</t>
  </si>
  <si>
    <t>FORCE</t>
  </si>
  <si>
    <t>6-1P</t>
  </si>
  <si>
    <t>6-2P</t>
  </si>
  <si>
    <t>6-3P</t>
  </si>
  <si>
    <t>6-4P</t>
  </si>
  <si>
    <t>6-5P</t>
  </si>
  <si>
    <t>6-6P</t>
  </si>
  <si>
    <t>6-7P</t>
  </si>
  <si>
    <t>6-8P</t>
  </si>
  <si>
    <t>6-9P(F)</t>
  </si>
  <si>
    <t>6-9P(A)</t>
  </si>
  <si>
    <t>6-10P(F)</t>
  </si>
  <si>
    <t>6-10P(A)</t>
  </si>
  <si>
    <t>6-11P</t>
  </si>
  <si>
    <t>6-12P</t>
  </si>
  <si>
    <t>6-1S</t>
  </si>
  <si>
    <t>6-2S</t>
  </si>
  <si>
    <t>6-3S</t>
  </si>
  <si>
    <t>6-4S</t>
  </si>
  <si>
    <t>6-5S</t>
  </si>
  <si>
    <t>6-6S</t>
  </si>
  <si>
    <t>6-7S</t>
  </si>
  <si>
    <t>6-8S</t>
  </si>
  <si>
    <t>6-9S</t>
  </si>
  <si>
    <t>6-10S</t>
  </si>
  <si>
    <t>6-11S</t>
  </si>
  <si>
    <t>6-12S</t>
  </si>
  <si>
    <t>8-1P</t>
  </si>
  <si>
    <t>8-2P</t>
  </si>
  <si>
    <t>8-3P</t>
  </si>
  <si>
    <t>8-4P</t>
  </si>
  <si>
    <t>8-5P</t>
  </si>
  <si>
    <t>8-6P</t>
  </si>
  <si>
    <t>8-7P</t>
  </si>
  <si>
    <t>8-8P</t>
  </si>
  <si>
    <t>8-9P</t>
  </si>
  <si>
    <t>8-10P</t>
  </si>
  <si>
    <t>8-11P</t>
  </si>
  <si>
    <t>8-12P</t>
  </si>
  <si>
    <t>8-1S</t>
  </si>
  <si>
    <t>8-2S</t>
  </si>
  <si>
    <t>8-3S</t>
  </si>
  <si>
    <t>8-4S</t>
  </si>
  <si>
    <t>8-5S</t>
  </si>
  <si>
    <t>8-6S</t>
  </si>
  <si>
    <t>8-7S</t>
  </si>
  <si>
    <t>8-8S</t>
  </si>
  <si>
    <t>8-9S</t>
  </si>
  <si>
    <t>8-10S</t>
  </si>
  <si>
    <t>8-11S</t>
  </si>
  <si>
    <t>8-12S</t>
  </si>
  <si>
    <t>* Deck Self Weight</t>
  </si>
  <si>
    <t>No.10 Deck Weight (Inlcuding No10~No13)</t>
  </si>
  <si>
    <t>DECK</t>
  </si>
  <si>
    <t>z</t>
  </si>
  <si>
    <t>Self Weight</t>
  </si>
  <si>
    <t>Steel Weight</t>
  </si>
  <si>
    <t>Outfitting</t>
  </si>
  <si>
    <t>NO.6L</t>
  </si>
  <si>
    <t>FR17~101</t>
  </si>
  <si>
    <t>FR#20~122</t>
  </si>
  <si>
    <t>NO.7</t>
  </si>
  <si>
    <t>FR101~198</t>
  </si>
  <si>
    <t>FR#122~198</t>
  </si>
  <si>
    <t>NO.8L</t>
  </si>
  <si>
    <t>FR198~215</t>
  </si>
  <si>
    <t>NO.9</t>
  </si>
  <si>
    <t>No.10 Deck</t>
  </si>
  <si>
    <t>NO.10</t>
  </si>
  <si>
    <t>Sub Total</t>
  </si>
  <si>
    <t>ABV NO.10</t>
  </si>
  <si>
    <t>TOTAL</t>
  </si>
  <si>
    <t>Total</t>
  </si>
  <si>
    <t>* Loading Condition List</t>
  </si>
  <si>
    <t>LC</t>
  </si>
  <si>
    <t>TLC(m)</t>
  </si>
  <si>
    <t>GM</t>
  </si>
  <si>
    <t>kr</t>
  </si>
  <si>
    <t>LWT</t>
  </si>
  <si>
    <t>DWT</t>
  </si>
  <si>
    <t>DISP</t>
  </si>
  <si>
    <t>Decription</t>
  </si>
  <si>
    <t>LC-14,15,16</t>
  </si>
  <si>
    <t>Condition No. 14, 15, 16 - Full Load (RT-43, U.W = 1.6 ton) Condition</t>
  </si>
  <si>
    <t>LC-17,18,19</t>
  </si>
  <si>
    <t>Condition No. 17, 18, 19 - RAV4L Load (U.W = 1.54 ton) Condition</t>
  </si>
  <si>
    <t>LC-20,21,22</t>
  </si>
  <si>
    <t>Condition No. 20, 21, 22 - RAV4L/FJ40 (U.W =1.54/1.9 ton) Load Condition</t>
  </si>
  <si>
    <t>LC-23,24,25</t>
  </si>
  <si>
    <t>Condition No. 23, 24, 25 - RAV4L/HD200D/FJ40 (U.W =1.54/18/1.9 ton) Load Condition</t>
  </si>
  <si>
    <t>LC-26,27,28</t>
  </si>
  <si>
    <t>Condition No. 26, 27, 28 - RAV4L/HD200D/FJ40 (U.W =1.54/18/1.9 ton) Case-1 Load Condition</t>
  </si>
  <si>
    <t>LC-32,33,34</t>
  </si>
  <si>
    <t>Condition No. 32, 33, 34 - RAV4L Case-1 (U.W=1.54 ton) Load Condition</t>
  </si>
  <si>
    <t>LC-35,36,37</t>
  </si>
  <si>
    <t>Condition No. 35, 36, 37 - RAV4L Case-2 (U.W=1.54 ton) Load Condition</t>
  </si>
  <si>
    <t>LC-38,39,40</t>
  </si>
  <si>
    <t>Condition No. 38, 39, 40 - RAV4L Case-3 (U.W=1.54 ton) Load Condition</t>
  </si>
  <si>
    <t>LC-41,42,43</t>
  </si>
  <si>
    <t>Condition No. 41, 42, 43 - RAV4L Case-4 (U.W=1.54 ton) Load Condition</t>
  </si>
  <si>
    <t>LC-44,45,46</t>
  </si>
  <si>
    <t>Condition No. 44, 45, 46 - RAV4L Case-5 (U.W=1.54 ton) Load Condition</t>
  </si>
  <si>
    <t>LC-47,48,49</t>
  </si>
  <si>
    <t>Condition No. 47, 48, 49 - RAV4L Case-6 (U.W=1.54 ton) Load Condition</t>
  </si>
  <si>
    <t>* Car Weight</t>
  </si>
  <si>
    <t>14,15,16</t>
  </si>
  <si>
    <t>17,18,19</t>
  </si>
  <si>
    <t>19,20,21</t>
  </si>
  <si>
    <t>23,24,25</t>
  </si>
  <si>
    <t>26,27,28</t>
  </si>
  <si>
    <t>32,33,34</t>
  </si>
  <si>
    <t>35,36,37</t>
  </si>
  <si>
    <t>38,39,40</t>
  </si>
  <si>
    <t>41,42,43</t>
  </si>
  <si>
    <t>44,45,46</t>
  </si>
  <si>
    <t>47,48,49</t>
  </si>
  <si>
    <t>Area</t>
  </si>
  <si>
    <t>* Number of Car</t>
  </si>
  <si>
    <t>HOLD</t>
  </si>
  <si>
    <t>DECK NO.</t>
  </si>
  <si>
    <t>A/B</t>
  </si>
  <si>
    <t>Eff. Deck Area</t>
  </si>
  <si>
    <t>Car Load(Max)</t>
  </si>
  <si>
    <t>Car Load(LC)</t>
  </si>
  <si>
    <t>m</t>
  </si>
  <si>
    <t>m^2</t>
  </si>
  <si>
    <t>NO.1</t>
  </si>
  <si>
    <t>NO.2</t>
  </si>
  <si>
    <t>NO.3</t>
  </si>
  <si>
    <t>NO.4</t>
  </si>
  <si>
    <t>NO.5</t>
  </si>
  <si>
    <t>NO.11</t>
  </si>
  <si>
    <t>NO.12</t>
  </si>
  <si>
    <t>NO.13</t>
  </si>
  <si>
    <t>Weight</t>
  </si>
  <si>
    <t>Ratio</t>
  </si>
  <si>
    <t>Car Weight</t>
  </si>
  <si>
    <t>Sum</t>
  </si>
  <si>
    <t>Deck Steel Weight</t>
  </si>
  <si>
    <t>Outfitting Weight</t>
  </si>
  <si>
    <t>All</t>
  </si>
  <si>
    <t>LC-29,30,31</t>
  </si>
  <si>
    <t>Condition No. 29, 30, 31 - RAV4L/HD200D/FJ40 (U.W =1.54/18/1.9 ton) Case-2 Load Condition</t>
  </si>
  <si>
    <t>29,30,31</t>
  </si>
  <si>
    <t>Max.</t>
  </si>
  <si>
    <t>Start-X</t>
  </si>
  <si>
    <t>End-X</t>
  </si>
  <si>
    <t>Start-Y</t>
  </si>
  <si>
    <t>End-Y</t>
  </si>
  <si>
    <t>Start-Z</t>
  </si>
  <si>
    <t>End-Z</t>
  </si>
  <si>
    <t>Volume</t>
  </si>
  <si>
    <t>Density</t>
  </si>
  <si>
    <t>Filling</t>
  </si>
  <si>
    <t>h</t>
  </si>
  <si>
    <t>p</t>
  </si>
  <si>
    <t>FR#</t>
  </si>
  <si>
    <t>mm</t>
  </si>
  <si>
    <t>m^3</t>
  </si>
  <si>
    <t>ton/m^3</t>
  </si>
  <si>
    <t>%</t>
  </si>
  <si>
    <t>N/mm^2</t>
  </si>
  <si>
    <t>S</t>
  </si>
  <si>
    <t>C</t>
  </si>
  <si>
    <t>Frame No.</t>
  </si>
  <si>
    <t>Web Frame</t>
  </si>
  <si>
    <t>STRING sgm_create_plane_po_created_ids[VIRTUAL]</t>
  </si>
  <si>
    <t>SIDE</t>
  </si>
  <si>
    <t>C.L</t>
  </si>
  <si>
    <t>Camber</t>
  </si>
  <si>
    <t>COMDK</t>
  </si>
  <si>
    <t>GRADK</t>
  </si>
  <si>
    <t>Loading Conditions</t>
  </si>
  <si>
    <t>Ls</t>
  </si>
  <si>
    <t>B</t>
  </si>
  <si>
    <t>D</t>
  </si>
  <si>
    <t>AXLE</t>
  </si>
  <si>
    <t>SPREAD</t>
  </si>
  <si>
    <t>TYRE</t>
  </si>
  <si>
    <t>kN/mm2</t>
  </si>
  <si>
    <t>u*y (mm)</t>
  </si>
  <si>
    <t>NO.8</t>
  </si>
  <si>
    <t>NO.6</t>
  </si>
  <si>
    <t>DESIGN S.W.B.M</t>
  </si>
  <si>
    <t>Ms Max</t>
  </si>
  <si>
    <t>kN-m</t>
  </si>
  <si>
    <t>Alloable Longitudinal Strength</t>
  </si>
  <si>
    <t>At Sea</t>
  </si>
  <si>
    <t>Position</t>
  </si>
  <si>
    <t>SF(+)</t>
  </si>
  <si>
    <t>SF(-)</t>
  </si>
  <si>
    <t>BM(Max.)</t>
  </si>
  <si>
    <t>BM(Min.)</t>
  </si>
  <si>
    <t>Draft</t>
  </si>
  <si>
    <t>LW</t>
  </si>
  <si>
    <t>BM</t>
  </si>
  <si>
    <t>Pos.</t>
  </si>
  <si>
    <t>SF</t>
  </si>
  <si>
    <t>MID</t>
  </si>
  <si>
    <t>Normal Ballast</t>
  </si>
  <si>
    <t>Full Load</t>
  </si>
  <si>
    <t>Condition No. 14, 15, 16 - Full Load Condition</t>
  </si>
  <si>
    <t>NO.4 HOLD</t>
  </si>
  <si>
    <t>NO.3 HOLD</t>
  </si>
  <si>
    <t>NO.2 HOLD</t>
  </si>
  <si>
    <t>NO.1 HOLD</t>
  </si>
  <si>
    <t>DECK TOTAL</t>
  </si>
  <si>
    <t>* Weight</t>
  </si>
  <si>
    <t>Condition No. 17, 18, 19 - RAV4L</t>
  </si>
  <si>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</si>
  <si>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</si>
  <si>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</si>
  <si>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</si>
  <si>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</si>
  <si>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</si>
  <si>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</si>
  <si>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</si>
  <si>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</si>
  <si>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</si>
  <si>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</si>
  <si>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</si>
  <si>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ay_env</t>
    <phoneticPr fontId="6" type="noConversion"/>
  </si>
  <si>
    <t>g</t>
    <phoneticPr fontId="6" type="noConversion"/>
  </si>
  <si>
    <t>m</t>
    <phoneticPr fontId="6" type="noConversion"/>
  </si>
  <si>
    <t>1. Principal Particular</t>
  </si>
  <si>
    <t>Length B.P.</t>
  </si>
  <si>
    <t xml:space="preserve">Rule Length </t>
  </si>
  <si>
    <t>Breadth (MLD)</t>
  </si>
  <si>
    <t>Depth (MLD)</t>
  </si>
  <si>
    <t>Scantling Draft</t>
  </si>
  <si>
    <t>Service Speed (V)</t>
  </si>
  <si>
    <t>kNot</t>
    <phoneticPr fontId="9" type="noConversion"/>
  </si>
  <si>
    <r>
      <t>C</t>
    </r>
    <r>
      <rPr>
        <vertAlign val="subscript"/>
        <sz val="10"/>
        <rFont val="Arial"/>
        <family val="2"/>
      </rPr>
      <t xml:space="preserve">B   </t>
    </r>
    <r>
      <rPr>
        <sz val="10"/>
        <rFont val="Arial"/>
        <family val="2"/>
      </rPr>
      <t>for Scantling</t>
    </r>
    <phoneticPr fontId="6" type="noConversion"/>
  </si>
  <si>
    <t>Bulkhead Deck - zBHD</t>
    <phoneticPr fontId="6" type="noConversion"/>
  </si>
  <si>
    <t>2. Deck Data</t>
    <phoneticPr fontId="6" type="noConversion"/>
  </si>
  <si>
    <t>NO.1</t>
    <phoneticPr fontId="6" type="noConversion"/>
  </si>
  <si>
    <t>NO.2</t>
    <phoneticPr fontId="6" type="noConversion"/>
  </si>
  <si>
    <t>DECK NO.</t>
    <phoneticPr fontId="6" type="noConversion"/>
  </si>
  <si>
    <t>A/B</t>
    <phoneticPr fontId="6" type="noConversion"/>
  </si>
  <si>
    <t>Deck Area</t>
    <phoneticPr fontId="6" type="noConversion"/>
  </si>
  <si>
    <t>Gravity</t>
    <phoneticPr fontId="6" type="noConversion"/>
  </si>
  <si>
    <t>(m^2)</t>
    <phoneticPr fontId="6" type="noConversion"/>
  </si>
  <si>
    <t>(ton)</t>
    <phoneticPr fontId="6" type="noConversion"/>
  </si>
  <si>
    <t>LC9</t>
    <phoneticPr fontId="6" type="noConversion"/>
  </si>
  <si>
    <t>LC10</t>
    <phoneticPr fontId="6" type="noConversion"/>
  </si>
  <si>
    <t>LC11</t>
    <phoneticPr fontId="6" type="noConversion"/>
  </si>
  <si>
    <t>PROVISIONS</t>
    <phoneticPr fontId="6" type="noConversion"/>
  </si>
  <si>
    <t>D.W CONSTANTS</t>
    <phoneticPr fontId="6" type="noConversion"/>
  </si>
  <si>
    <t>NO.5 DECK</t>
    <phoneticPr fontId="6" type="noConversion"/>
  </si>
  <si>
    <t>NO.3 DECK</t>
    <phoneticPr fontId="6" type="noConversion"/>
  </si>
  <si>
    <t>F.P.T</t>
    <phoneticPr fontId="6" type="noConversion"/>
  </si>
  <si>
    <t>C</t>
    <phoneticPr fontId="6" type="noConversion"/>
  </si>
  <si>
    <t>NO.1 W.B.TK</t>
    <phoneticPr fontId="6" type="noConversion"/>
  </si>
  <si>
    <t>NO.2 W.B.TK</t>
  </si>
  <si>
    <t>NO.3 W.B.TK</t>
  </si>
  <si>
    <t>NO.4 W.B.TK</t>
    <phoneticPr fontId="6" type="noConversion"/>
  </si>
  <si>
    <t>P</t>
    <phoneticPr fontId="6" type="noConversion"/>
  </si>
  <si>
    <t>S</t>
    <phoneticPr fontId="6" type="noConversion"/>
  </si>
  <si>
    <t>HEEL TK.</t>
    <phoneticPr fontId="6" type="noConversion"/>
  </si>
  <si>
    <t>NO.5 W.B.TK</t>
    <phoneticPr fontId="6" type="noConversion"/>
  </si>
  <si>
    <t>NO.6 W.B.TK</t>
    <phoneticPr fontId="6" type="noConversion"/>
  </si>
  <si>
    <t>NO.1 D.W.B.TK</t>
    <phoneticPr fontId="6" type="noConversion"/>
  </si>
  <si>
    <t>NO.2 D.W.B.TK</t>
    <phoneticPr fontId="6" type="noConversion"/>
  </si>
  <si>
    <t>A.P.T</t>
    <phoneticPr fontId="6" type="noConversion"/>
  </si>
  <si>
    <t>DRAIN W.TK</t>
    <phoneticPr fontId="6" type="noConversion"/>
  </si>
  <si>
    <t>F.W.T</t>
    <phoneticPr fontId="6" type="noConversion"/>
  </si>
  <si>
    <t>NO.1 F.O.T</t>
    <phoneticPr fontId="6" type="noConversion"/>
  </si>
  <si>
    <t>NO 1 F.O.T</t>
    <phoneticPr fontId="6" type="noConversion"/>
  </si>
  <si>
    <t>NO.2 F.O.T</t>
    <phoneticPr fontId="6" type="noConversion"/>
  </si>
  <si>
    <t>D. O. TK.</t>
    <phoneticPr fontId="6" type="noConversion"/>
  </si>
  <si>
    <t>S.G</t>
    <phoneticPr fontId="6" type="noConversion"/>
  </si>
  <si>
    <t>Draught</t>
    <phoneticPr fontId="6" type="noConversion"/>
  </si>
  <si>
    <t>LIGHT WEIGHT</t>
    <phoneticPr fontId="6" type="noConversion"/>
  </si>
  <si>
    <t>GM</t>
    <phoneticPr fontId="6" type="noConversion"/>
  </si>
  <si>
    <t>(mm)</t>
    <phoneticPr fontId="6" type="noConversion"/>
  </si>
  <si>
    <t>kr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</si>
</sst>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"/>
    <numFmt numFmtId="178" formatCode="0_);[Red]\(0\)"/>
    <numFmt numFmtId="179" formatCode="0.000"/>
    <numFmt numFmtId="180" formatCode="0.0_ "/>
    <numFmt numFmtId="181" formatCode="0_ "/>
    <numFmt numFmtId="182" formatCode="0.00000"/>
    <numFmt numFmtId="183" formatCode="0.0000"/>
    <numFmt numFmtId="184" formatCode="0.00_ "/>
    <numFmt numFmtId="185" formatCode="0.000_);[Red]\(0.000\)"/>
  </numFmts>
  <fonts count="17" x14ac:knownFonts="1">
    <font>
      <sz val="11"/>
      <color rgb="FF000000"/>
      <name val="맑은 고딕"/>
      <family val="2"/>
      <charset val="1"/>
    </font>
    <font>
      <b/>
      <sz val="11"/>
      <color rgb="FF000000"/>
      <name val="맑은 고딕"/>
      <family val="3"/>
      <charset val="129"/>
    </font>
    <font>
      <sz val="11"/>
      <name val="맑은 고딕"/>
      <family val="2"/>
      <charset val="1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2"/>
      <charset val="1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8"/>
      <name val="맑은 고딕"/>
      <family val="2"/>
      <charset val="129"/>
      <scheme val="minor"/>
    </font>
    <font>
      <b/>
      <u/>
      <sz val="10"/>
      <name val="Arial"/>
      <family val="2"/>
    </font>
    <font>
      <sz val="10"/>
      <color rgb="FF000000"/>
      <name val="맑은 고딕"/>
      <family val="2"/>
      <charset val="1"/>
    </font>
    <font>
      <vertAlign val="subscript"/>
      <sz val="10"/>
      <name val="Arial"/>
      <family val="2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ADB9CA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ADB9CA"/>
      </patternFill>
    </fill>
    <fill>
      <patternFill patternType="solid">
        <fgColor rgb="FFC55A11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2E75B6"/>
        <bgColor rgb="FF287ACC"/>
      </patternFill>
    </fill>
    <fill>
      <patternFill patternType="solid">
        <fgColor rgb="FFBF9000"/>
        <bgColor rgb="FFC55A11"/>
      </patternFill>
    </fill>
    <fill>
      <patternFill patternType="solid">
        <fgColor rgb="FF8497B0"/>
        <bgColor rgb="FF808080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8CBAD"/>
      </patternFill>
    </fill>
    <fill>
      <patternFill patternType="solid">
        <fgColor rgb="FFBDD7EE"/>
        <bgColor rgb="FFC5E0B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129">
    <xf numFmtId="0" fontId="0" fillId="0" borderId="0" xfId="0"/>
    <xf numFmtId="0" fontId="0" fillId="0" borderId="0" xfId="0" applyFont="1" applyAlignment="1">
      <alignment horizontal="center"/>
    </xf>
    <xf numFmtId="1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0" xfId="0"/>
    <xf numFmtId="0" fontId="0" fillId="0" borderId="0" xfId="0" applyBorder="1"/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0" borderId="1" xfId="0" applyFont="1" applyBorder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/>
    <xf numFmtId="0" fontId="1" fillId="0" borderId="0" xfId="0" applyFont="1" applyBorder="1" applyAlignment="1"/>
    <xf numFmtId="0" fontId="0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4" borderId="1" xfId="0" applyFon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Border="1"/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Border="1"/>
    <xf numFmtId="176" fontId="2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4" borderId="11" xfId="0" applyFont="1" applyFill="1" applyBorder="1" applyAlignment="1">
      <alignment horizontal="center"/>
    </xf>
    <xf numFmtId="176" fontId="0" fillId="4" borderId="12" xfId="0" applyNumberForma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76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0" fontId="0" fillId="0" borderId="2" xfId="0" applyBorder="1"/>
    <xf numFmtId="0" fontId="3" fillId="4" borderId="1" xfId="0" applyFont="1" applyFill="1" applyBorder="1" applyAlignment="1">
      <alignment horizontal="center"/>
    </xf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4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19" xfId="0" applyNumberFormat="1" applyBorder="1" applyAlignment="1">
      <alignment horizontal="center"/>
    </xf>
    <xf numFmtId="182" fontId="0" fillId="0" borderId="16" xfId="0" applyNumberFormat="1" applyBorder="1" applyAlignment="1">
      <alignment horizontal="center"/>
    </xf>
    <xf numFmtId="176" fontId="0" fillId="0" borderId="16" xfId="0" applyNumberFormat="1" applyBorder="1" applyAlignment="1">
      <alignment horizontal="center"/>
    </xf>
    <xf numFmtId="18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3" xfId="0" applyFont="1" applyFill="1" applyBorder="1" applyAlignment="1">
      <alignment horizontal="center"/>
    </xf>
    <xf numFmtId="176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/>
    <xf numFmtId="0" fontId="4" fillId="0" borderId="0" xfId="0" applyFont="1" applyBorder="1"/>
    <xf numFmtId="0" fontId="4" fillId="10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/>
    <xf numFmtId="0" fontId="0" fillId="4" borderId="1" xfId="0" applyFill="1" applyBorder="1"/>
    <xf numFmtId="0" fontId="0" fillId="12" borderId="1" xfId="0" applyFill="1" applyBorder="1"/>
    <xf numFmtId="0" fontId="0" fillId="2" borderId="1" xfId="0" applyFill="1" applyBorder="1"/>
    <xf numFmtId="0" fontId="0" fillId="10" borderId="1" xfId="0" applyFill="1" applyBorder="1" applyAlignment="1">
      <alignment horizontal="center"/>
    </xf>
    <xf numFmtId="0" fontId="0" fillId="4" borderId="1" xfId="0" applyFill="1" applyBorder="1"/>
    <xf numFmtId="0" fontId="0" fillId="12" borderId="1" xfId="0" applyFill="1" applyBorder="1"/>
    <xf numFmtId="176" fontId="0" fillId="2" borderId="1" xfId="0" applyNumberFormat="1" applyFill="1" applyBorder="1"/>
    <xf numFmtId="9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183" fontId="0" fillId="2" borderId="1" xfId="0" applyNumberFormat="1" applyFill="1" applyBorder="1" applyAlignment="1">
      <alignment horizontal="center"/>
    </xf>
    <xf numFmtId="0" fontId="5" fillId="0" borderId="16" xfId="0" applyFont="1" applyBorder="1"/>
    <xf numFmtId="0" fontId="0" fillId="2" borderId="1" xfId="0" applyFill="1" applyBorder="1"/>
    <xf numFmtId="179" fontId="0" fillId="4" borderId="0" xfId="0" applyNumberFormat="1" applyFill="1"/>
    <xf numFmtId="0" fontId="0" fillId="3" borderId="0" xfId="0" applyFill="1"/>
    <xf numFmtId="0" fontId="0" fillId="13" borderId="0" xfId="0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84" fontId="0" fillId="0" borderId="0" xfId="0" applyNumberFormat="1" applyFont="1" applyAlignment="1">
      <alignment horizontal="center"/>
    </xf>
    <xf numFmtId="0" fontId="10" fillId="0" borderId="0" xfId="1" applyFont="1" applyBorder="1" applyAlignment="1">
      <alignment vertical="center"/>
    </xf>
    <xf numFmtId="0" fontId="11" fillId="0" borderId="0" xfId="0" applyFont="1"/>
    <xf numFmtId="0" fontId="7" fillId="0" borderId="21" xfId="2" applyFont="1" applyFill="1" applyBorder="1"/>
    <xf numFmtId="179" fontId="7" fillId="0" borderId="21" xfId="2" applyNumberFormat="1" applyFont="1" applyFill="1" applyBorder="1" applyAlignment="1" applyProtection="1">
      <protection locked="0"/>
    </xf>
    <xf numFmtId="0" fontId="7" fillId="0" borderId="21" xfId="2" applyFont="1" applyFill="1" applyBorder="1" applyAlignment="1">
      <alignment horizontal="center"/>
    </xf>
    <xf numFmtId="0" fontId="7" fillId="0" borderId="17" xfId="2" applyFont="1" applyFill="1" applyBorder="1" applyAlignment="1"/>
    <xf numFmtId="0" fontId="7" fillId="0" borderId="17" xfId="2" applyFont="1" applyFill="1" applyBorder="1"/>
    <xf numFmtId="179" fontId="7" fillId="0" borderId="17" xfId="2" applyNumberFormat="1" applyFont="1" applyFill="1" applyBorder="1" applyAlignment="1" applyProtection="1">
      <protection locked="0"/>
    </xf>
    <xf numFmtId="0" fontId="7" fillId="0" borderId="17" xfId="2" applyFont="1" applyFill="1" applyBorder="1" applyAlignment="1">
      <alignment horizontal="center"/>
    </xf>
    <xf numFmtId="2" fontId="7" fillId="0" borderId="17" xfId="2" applyNumberFormat="1" applyFont="1" applyFill="1" applyBorder="1" applyAlignment="1" applyProtection="1">
      <protection locked="0"/>
    </xf>
    <xf numFmtId="0" fontId="13" fillId="0" borderId="0" xfId="1" applyFont="1" applyBorder="1" applyAlignment="1">
      <alignment vertic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4" fillId="0" borderId="0" xfId="0" applyFont="1"/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85" fontId="15" fillId="0" borderId="1" xfId="0" applyNumberFormat="1" applyFont="1" applyBorder="1" applyAlignment="1">
      <alignment horizontal="center"/>
    </xf>
    <xf numFmtId="178" fontId="11" fillId="0" borderId="0" xfId="0" applyNumberFormat="1" applyFont="1" applyBorder="1"/>
    <xf numFmtId="185" fontId="15" fillId="0" borderId="0" xfId="0" applyNumberFormat="1" applyFont="1" applyBorder="1" applyAlignment="1">
      <alignment horizontal="center"/>
    </xf>
    <xf numFmtId="0" fontId="11" fillId="0" borderId="1" xfId="0" applyFont="1" applyBorder="1"/>
    <xf numFmtId="0" fontId="16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3">
    <cellStyle name="표준" xfId="0" builtinId="0"/>
    <cellStyle name="표준 6" xfId="1" xr:uid="{7DE49A13-97F9-4D47-B9AE-EB28CEE9A5C1}"/>
    <cellStyle name="표준_LONG'L" xfId="2" xr:uid="{D492D360-6439-4655-B2B9-B8F060615EB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DC3E6"/>
      <rgbColor rgb="FFFF99CC"/>
      <rgbColor rgb="FFCC99FF"/>
      <rgbColor rgb="FFF8CBAD"/>
      <rgbColor rgb="FF287ACC"/>
      <rgbColor rgb="FF33CCCC"/>
      <rgbColor rgb="FFA9D18E"/>
      <rgbColor rgb="FFFFCC00"/>
      <rgbColor rgb="FFBF9000"/>
      <rgbColor rgb="FFC55A1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85F2-5D35-41F2-8720-C67FB0EDFE7D}">
  <dimension ref="A1:I27"/>
  <sheetViews>
    <sheetView zoomScale="115" zoomScaleNormal="115" workbookViewId="0">
      <selection activeCell="I32" sqref="I32"/>
    </sheetView>
  </sheetViews>
  <sheetFormatPr defaultRowHeight="13.5" x14ac:dyDescent="0.25"/>
  <cols>
    <col min="1" max="9" width="8.625" style="100" customWidth="1"/>
    <col min="10" max="16384" width="9" style="100"/>
  </cols>
  <sheetData>
    <row r="1" spans="1:9" x14ac:dyDescent="0.25">
      <c r="A1" s="109" t="s">
        <v>241</v>
      </c>
      <c r="B1" s="99"/>
      <c r="C1" s="99"/>
      <c r="D1" s="99"/>
      <c r="E1" s="99"/>
      <c r="F1" s="99"/>
      <c r="G1" s="99"/>
      <c r="H1" s="99"/>
      <c r="I1" s="99"/>
    </row>
    <row r="2" spans="1:9" x14ac:dyDescent="0.25">
      <c r="A2" s="101" t="s">
        <v>242</v>
      </c>
      <c r="B2" s="101"/>
      <c r="C2" s="101"/>
      <c r="D2" s="101"/>
      <c r="E2" s="101"/>
      <c r="F2" s="101"/>
      <c r="G2" s="101"/>
      <c r="H2" s="102">
        <v>170.4</v>
      </c>
      <c r="I2" s="103" t="s">
        <v>240</v>
      </c>
    </row>
    <row r="3" spans="1:9" x14ac:dyDescent="0.25">
      <c r="A3" s="104" t="s">
        <v>243</v>
      </c>
      <c r="B3" s="104"/>
      <c r="C3" s="104"/>
      <c r="D3" s="104"/>
      <c r="E3" s="105"/>
      <c r="F3" s="105"/>
      <c r="G3" s="105"/>
      <c r="H3" s="106">
        <v>170.4</v>
      </c>
      <c r="I3" s="107" t="s">
        <v>240</v>
      </c>
    </row>
    <row r="4" spans="1:9" x14ac:dyDescent="0.25">
      <c r="A4" s="104" t="s">
        <v>244</v>
      </c>
      <c r="B4" s="104"/>
      <c r="C4" s="104"/>
      <c r="D4" s="104"/>
      <c r="E4" s="104"/>
      <c r="F4" s="104"/>
      <c r="G4" s="105"/>
      <c r="H4" s="108">
        <v>30.2</v>
      </c>
      <c r="I4" s="107" t="s">
        <v>240</v>
      </c>
    </row>
    <row r="5" spans="1:9" x14ac:dyDescent="0.25">
      <c r="A5" s="105" t="s">
        <v>245</v>
      </c>
      <c r="B5" s="105"/>
      <c r="C5" s="105"/>
      <c r="D5" s="105"/>
      <c r="E5" s="105"/>
      <c r="F5" s="105"/>
      <c r="G5" s="105"/>
      <c r="H5" s="108">
        <v>28.8</v>
      </c>
      <c r="I5" s="107" t="s">
        <v>240</v>
      </c>
    </row>
    <row r="6" spans="1:9" x14ac:dyDescent="0.25">
      <c r="A6" s="105" t="s">
        <v>246</v>
      </c>
      <c r="B6" s="105"/>
      <c r="C6" s="105"/>
      <c r="D6" s="105"/>
      <c r="E6" s="105"/>
      <c r="F6" s="105"/>
      <c r="G6" s="105"/>
      <c r="H6" s="108">
        <v>8.6999999999999993</v>
      </c>
      <c r="I6" s="107" t="s">
        <v>240</v>
      </c>
    </row>
    <row r="7" spans="1:9" ht="15.75" x14ac:dyDescent="0.3">
      <c r="A7" s="105" t="s">
        <v>249</v>
      </c>
      <c r="B7" s="105"/>
      <c r="C7" s="105"/>
      <c r="D7" s="105"/>
      <c r="E7" s="105"/>
      <c r="F7" s="105"/>
      <c r="G7" s="105"/>
      <c r="H7" s="106">
        <v>0.56000000000000005</v>
      </c>
      <c r="I7" s="107"/>
    </row>
    <row r="8" spans="1:9" x14ac:dyDescent="0.25">
      <c r="A8" s="105" t="s">
        <v>247</v>
      </c>
      <c r="B8" s="105"/>
      <c r="C8" s="105"/>
      <c r="D8" s="105"/>
      <c r="E8" s="105"/>
      <c r="F8" s="105"/>
      <c r="G8" s="105"/>
      <c r="H8" s="108">
        <v>20</v>
      </c>
      <c r="I8" s="107" t="s">
        <v>248</v>
      </c>
    </row>
    <row r="9" spans="1:9" x14ac:dyDescent="0.25">
      <c r="A9" s="110" t="s">
        <v>250</v>
      </c>
      <c r="B9" s="110"/>
      <c r="C9" s="110"/>
      <c r="D9" s="110"/>
      <c r="E9" s="110"/>
      <c r="F9" s="110"/>
      <c r="G9" s="110"/>
      <c r="H9" s="110">
        <v>14.4</v>
      </c>
      <c r="I9" s="111" t="s">
        <v>240</v>
      </c>
    </row>
    <row r="11" spans="1:9" x14ac:dyDescent="0.25">
      <c r="A11" s="112" t="s">
        <v>251</v>
      </c>
    </row>
    <row r="12" spans="1:9" x14ac:dyDescent="0.25">
      <c r="A12" s="126" t="s">
        <v>254</v>
      </c>
      <c r="B12" s="115" t="s">
        <v>255</v>
      </c>
      <c r="C12" s="117" t="s">
        <v>257</v>
      </c>
      <c r="D12" s="116" t="s">
        <v>256</v>
      </c>
    </row>
    <row r="13" spans="1:9" x14ac:dyDescent="0.25">
      <c r="A13" s="126"/>
      <c r="B13" s="118" t="s">
        <v>291</v>
      </c>
      <c r="C13" s="120" t="s">
        <v>259</v>
      </c>
      <c r="D13" s="119" t="s">
        <v>258</v>
      </c>
    </row>
    <row r="14" spans="1:9" x14ac:dyDescent="0.25">
      <c r="A14" s="114" t="s">
        <v>252</v>
      </c>
      <c r="B14" s="122">
        <v>2.1</v>
      </c>
      <c r="C14" s="113">
        <v>0</v>
      </c>
      <c r="D14" s="114">
        <v>590</v>
      </c>
      <c r="E14" s="100">
        <f>C14+C14*10%</f>
        <v>0</v>
      </c>
      <c r="F14" s="123"/>
      <c r="G14" s="124"/>
    </row>
    <row r="15" spans="1:9" x14ac:dyDescent="0.25">
      <c r="A15" s="114" t="s">
        <v>253</v>
      </c>
      <c r="B15" s="122">
        <v>4.92</v>
      </c>
      <c r="C15" s="113">
        <v>0</v>
      </c>
      <c r="D15" s="114">
        <v>1660</v>
      </c>
      <c r="E15" s="100">
        <f t="shared" ref="E15:E26" si="0">C15+C15*10%</f>
        <v>0</v>
      </c>
      <c r="F15" s="123"/>
      <c r="G15" s="124"/>
    </row>
    <row r="16" spans="1:9" x14ac:dyDescent="0.25">
      <c r="A16" s="114" t="s">
        <v>145</v>
      </c>
      <c r="B16" s="122">
        <v>7.81</v>
      </c>
      <c r="C16" s="113">
        <v>0</v>
      </c>
      <c r="D16" s="114">
        <v>2820</v>
      </c>
      <c r="E16" s="100">
        <f t="shared" si="0"/>
        <v>0</v>
      </c>
      <c r="F16" s="123"/>
      <c r="G16" s="124"/>
    </row>
    <row r="17" spans="1:7" x14ac:dyDescent="0.25">
      <c r="A17" s="114" t="s">
        <v>146</v>
      </c>
      <c r="B17" s="122">
        <v>10.75</v>
      </c>
      <c r="C17" s="113">
        <v>100.54</v>
      </c>
      <c r="D17" s="114">
        <v>3040</v>
      </c>
      <c r="E17" s="100">
        <f t="shared" si="0"/>
        <v>110.59400000000001</v>
      </c>
      <c r="F17" s="123"/>
      <c r="G17" s="124"/>
    </row>
    <row r="18" spans="1:7" x14ac:dyDescent="0.25">
      <c r="A18" s="114" t="s">
        <v>147</v>
      </c>
      <c r="B18" s="122">
        <v>14.4</v>
      </c>
      <c r="C18" s="113">
        <v>1210</v>
      </c>
      <c r="D18" s="114">
        <v>4430</v>
      </c>
      <c r="E18" s="100">
        <f t="shared" si="0"/>
        <v>1331</v>
      </c>
      <c r="F18" s="123"/>
      <c r="G18" s="124"/>
    </row>
    <row r="19" spans="1:7" x14ac:dyDescent="0.25">
      <c r="A19" s="114" t="s">
        <v>199</v>
      </c>
      <c r="B19" s="122">
        <v>17.945</v>
      </c>
      <c r="C19" s="113">
        <v>63.910000000000004</v>
      </c>
      <c r="D19" s="114">
        <v>4580</v>
      </c>
      <c r="E19" s="100">
        <f t="shared" si="0"/>
        <v>70.301000000000002</v>
      </c>
      <c r="F19" s="123"/>
      <c r="G19" s="124"/>
    </row>
    <row r="20" spans="1:7" x14ac:dyDescent="0.25">
      <c r="A20" s="114" t="s">
        <v>78</v>
      </c>
      <c r="B20" s="122">
        <v>20.94</v>
      </c>
      <c r="C20" s="113">
        <v>233.2</v>
      </c>
      <c r="D20" s="114">
        <v>4330</v>
      </c>
      <c r="E20" s="100">
        <f t="shared" si="0"/>
        <v>256.52</v>
      </c>
      <c r="F20" s="123"/>
      <c r="G20" s="124"/>
    </row>
    <row r="21" spans="1:7" x14ac:dyDescent="0.25">
      <c r="A21" s="114" t="s">
        <v>198</v>
      </c>
      <c r="B21" s="122">
        <v>23.68</v>
      </c>
      <c r="C21" s="113">
        <v>92.72999999999999</v>
      </c>
      <c r="D21" s="114">
        <v>4880</v>
      </c>
      <c r="E21" s="100">
        <f t="shared" si="0"/>
        <v>102.00299999999999</v>
      </c>
      <c r="F21" s="123"/>
      <c r="G21" s="124"/>
    </row>
    <row r="22" spans="1:7" x14ac:dyDescent="0.25">
      <c r="A22" s="114" t="s">
        <v>83</v>
      </c>
      <c r="B22" s="122">
        <v>26.4</v>
      </c>
      <c r="C22" s="113">
        <v>617.1</v>
      </c>
      <c r="D22" s="114">
        <v>4950</v>
      </c>
      <c r="E22" s="100">
        <f t="shared" si="0"/>
        <v>678.81000000000006</v>
      </c>
      <c r="F22" s="123"/>
      <c r="G22" s="124"/>
    </row>
    <row r="23" spans="1:7" x14ac:dyDescent="0.25">
      <c r="A23" s="114" t="s">
        <v>85</v>
      </c>
      <c r="B23" s="122">
        <v>28.8</v>
      </c>
      <c r="C23" s="113">
        <v>964.26</v>
      </c>
      <c r="D23" s="114">
        <v>3400</v>
      </c>
      <c r="E23" s="100">
        <f t="shared" si="0"/>
        <v>1060.6859999999999</v>
      </c>
      <c r="F23" s="123"/>
      <c r="G23" s="124"/>
    </row>
    <row r="24" spans="1:7" x14ac:dyDescent="0.25">
      <c r="A24" s="114" t="s">
        <v>148</v>
      </c>
      <c r="B24" s="122">
        <v>31.07</v>
      </c>
      <c r="C24" s="113">
        <v>1272.0400000000002</v>
      </c>
      <c r="D24" s="114">
        <v>3410</v>
      </c>
      <c r="E24" s="100">
        <f t="shared" si="0"/>
        <v>1399.2440000000001</v>
      </c>
      <c r="F24" s="123"/>
      <c r="G24" s="124"/>
    </row>
    <row r="25" spans="1:7" x14ac:dyDescent="0.25">
      <c r="A25" s="114" t="s">
        <v>149</v>
      </c>
      <c r="B25" s="122">
        <v>33.340000000000003</v>
      </c>
      <c r="C25" s="113">
        <v>480.26000000000005</v>
      </c>
      <c r="D25" s="114">
        <v>0</v>
      </c>
      <c r="E25" s="100">
        <f t="shared" si="0"/>
        <v>528.28600000000006</v>
      </c>
      <c r="F25" s="123"/>
      <c r="G25" s="124"/>
    </row>
    <row r="26" spans="1:7" x14ac:dyDescent="0.25">
      <c r="A26" s="114" t="s">
        <v>150</v>
      </c>
      <c r="B26" s="122">
        <v>35.94</v>
      </c>
      <c r="C26" s="113">
        <v>99.440000000000012</v>
      </c>
      <c r="D26" s="114">
        <v>0</v>
      </c>
      <c r="E26" s="100">
        <f t="shared" si="0"/>
        <v>109.38400000000001</v>
      </c>
      <c r="F26" s="123"/>
      <c r="G26" s="124"/>
    </row>
    <row r="27" spans="1:7" x14ac:dyDescent="0.25">
      <c r="A27" s="125"/>
      <c r="B27" s="125"/>
      <c r="C27" s="113">
        <f>SUM(C14:C26)</f>
        <v>5133.4799999999996</v>
      </c>
      <c r="D27" s="125"/>
    </row>
  </sheetData>
  <mergeCells count="1">
    <mergeCell ref="A12:A13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2"/>
  <sheetViews>
    <sheetView zoomScaleNormal="100" workbookViewId="0">
      <selection activeCell="V13" sqref="V13"/>
    </sheetView>
  </sheetViews>
  <sheetFormatPr defaultRowHeight="16.5" x14ac:dyDescent="0.3"/>
  <cols>
    <col min="1" max="6" width="8.625" customWidth="1"/>
    <col min="7" max="7" width="14.125" customWidth="1"/>
    <col min="8" max="1025" width="8.625" customWidth="1"/>
  </cols>
  <sheetData>
    <row r="1" spans="1:22" x14ac:dyDescent="0.3">
      <c r="A1" t="s">
        <v>203</v>
      </c>
    </row>
    <row r="3" spans="1:22" x14ac:dyDescent="0.3">
      <c r="A3" t="s">
        <v>204</v>
      </c>
    </row>
    <row r="4" spans="1:22" x14ac:dyDescent="0.3">
      <c r="A4" t="s">
        <v>205</v>
      </c>
      <c r="B4" s="1" t="s">
        <v>206</v>
      </c>
      <c r="C4" s="1" t="s">
        <v>207</v>
      </c>
      <c r="D4" t="s">
        <v>208</v>
      </c>
      <c r="E4" t="s">
        <v>209</v>
      </c>
      <c r="H4" s="20"/>
      <c r="I4" s="1"/>
      <c r="K4" s="1"/>
    </row>
    <row r="5" spans="1:22" x14ac:dyDescent="0.3">
      <c r="A5" s="1">
        <v>49</v>
      </c>
      <c r="B5" s="1">
        <v>4200</v>
      </c>
      <c r="C5" s="1">
        <v>-3800</v>
      </c>
      <c r="D5" s="1">
        <v>80000</v>
      </c>
      <c r="E5" s="1">
        <v>0</v>
      </c>
      <c r="G5" s="1"/>
      <c r="H5" s="1"/>
      <c r="I5" s="1"/>
      <c r="J5" s="20"/>
      <c r="K5" s="1"/>
    </row>
    <row r="6" spans="1:22" x14ac:dyDescent="0.3">
      <c r="A6" s="1">
        <v>73</v>
      </c>
      <c r="B6" s="1">
        <v>4300</v>
      </c>
      <c r="C6" s="1">
        <v>-4100</v>
      </c>
      <c r="D6" s="1">
        <v>163000</v>
      </c>
      <c r="E6" s="1">
        <v>21000</v>
      </c>
      <c r="G6" s="1"/>
      <c r="H6" s="1" t="s">
        <v>210</v>
      </c>
      <c r="I6" s="1" t="s">
        <v>93</v>
      </c>
      <c r="J6" s="1" t="s">
        <v>211</v>
      </c>
      <c r="K6" s="1" t="s">
        <v>96</v>
      </c>
      <c r="L6" s="1" t="s">
        <v>212</v>
      </c>
      <c r="M6" s="1" t="s">
        <v>213</v>
      </c>
      <c r="N6" s="1" t="s">
        <v>214</v>
      </c>
    </row>
    <row r="7" spans="1:22" x14ac:dyDescent="0.3">
      <c r="A7" s="1" t="s">
        <v>215</v>
      </c>
      <c r="B7" s="1">
        <v>4400</v>
      </c>
      <c r="C7" s="1">
        <v>-4400</v>
      </c>
      <c r="D7">
        <v>198000</v>
      </c>
      <c r="E7" s="1">
        <v>40000</v>
      </c>
      <c r="G7" s="20" t="s">
        <v>216</v>
      </c>
      <c r="H7" s="1">
        <v>7.09</v>
      </c>
      <c r="I7" s="1">
        <v>3.71</v>
      </c>
      <c r="J7" s="1">
        <v>12983</v>
      </c>
      <c r="K7" s="1">
        <v>6084</v>
      </c>
    </row>
    <row r="8" spans="1:22" x14ac:dyDescent="0.3">
      <c r="A8" s="1">
        <v>121</v>
      </c>
      <c r="B8" s="1">
        <v>4400</v>
      </c>
      <c r="C8" s="1">
        <v>-4400</v>
      </c>
      <c r="D8" s="1">
        <v>198000</v>
      </c>
      <c r="E8" s="1">
        <v>40000</v>
      </c>
      <c r="G8" s="20" t="s">
        <v>217</v>
      </c>
      <c r="H8" s="1">
        <v>8.7200000000000006</v>
      </c>
      <c r="I8" s="1">
        <v>1.48</v>
      </c>
      <c r="J8" s="1">
        <v>12983</v>
      </c>
      <c r="K8" s="1">
        <v>12806</v>
      </c>
      <c r="L8" s="1">
        <v>198000</v>
      </c>
      <c r="M8" s="1">
        <v>109</v>
      </c>
    </row>
    <row r="9" spans="1:22" x14ac:dyDescent="0.3">
      <c r="A9" s="1">
        <v>145</v>
      </c>
      <c r="B9" s="1">
        <v>3700</v>
      </c>
      <c r="C9" s="1">
        <v>-4000</v>
      </c>
      <c r="D9" s="1">
        <v>155000</v>
      </c>
      <c r="E9" s="1">
        <v>34000</v>
      </c>
      <c r="G9" s="1"/>
      <c r="H9" s="1"/>
      <c r="I9" s="1"/>
      <c r="J9" s="1"/>
      <c r="K9" s="1"/>
    </row>
    <row r="10" spans="1:22" x14ac:dyDescent="0.3">
      <c r="A10" s="1">
        <v>181</v>
      </c>
      <c r="B10" s="1">
        <v>3000</v>
      </c>
      <c r="C10" s="1">
        <v>-3400</v>
      </c>
      <c r="D10" s="1">
        <v>87000</v>
      </c>
      <c r="E10" s="1">
        <v>0</v>
      </c>
      <c r="G10" s="1"/>
      <c r="H10" s="1"/>
      <c r="I10" s="1"/>
      <c r="J10" s="1"/>
      <c r="K10" s="1"/>
    </row>
    <row r="11" spans="1:22" x14ac:dyDescent="0.3">
      <c r="A11" s="1">
        <v>199</v>
      </c>
      <c r="B11" s="1">
        <v>4200</v>
      </c>
      <c r="C11" s="1">
        <v>-4400</v>
      </c>
      <c r="D11" s="1">
        <v>87000</v>
      </c>
      <c r="E11" s="1">
        <v>0</v>
      </c>
      <c r="G11" s="1"/>
      <c r="H11" s="1"/>
      <c r="I11" s="1"/>
      <c r="J11" s="1"/>
      <c r="K11" s="1"/>
      <c r="V11">
        <f>31</f>
        <v>31</v>
      </c>
    </row>
    <row r="12" spans="1:22" x14ac:dyDescent="0.3">
      <c r="V12">
        <f>0.05*V11</f>
        <v>1.55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62"/>
  <sheetViews>
    <sheetView topLeftCell="A46" zoomScaleNormal="100" workbookViewId="0">
      <selection activeCell="D28" sqref="D28"/>
    </sheetView>
  </sheetViews>
  <sheetFormatPr defaultRowHeight="16.5" x14ac:dyDescent="0.3"/>
  <cols>
    <col min="1" max="1" width="8.625" customWidth="1"/>
    <col min="2" max="3" width="12.625" customWidth="1"/>
    <col min="4" max="7" width="12.625" style="1" customWidth="1"/>
    <col min="8" max="8" width="12.375" style="1" customWidth="1"/>
    <col min="9" max="10" width="8.625" customWidth="1"/>
    <col min="11" max="15" width="10.75" customWidth="1"/>
    <col min="16" max="1025" width="8.625" customWidth="1"/>
  </cols>
  <sheetData>
    <row r="1" spans="2:7" x14ac:dyDescent="0.3">
      <c r="B1" t="s">
        <v>218</v>
      </c>
    </row>
    <row r="2" spans="2:7" x14ac:dyDescent="0.3">
      <c r="B2" t="s">
        <v>134</v>
      </c>
    </row>
    <row r="3" spans="2:7" x14ac:dyDescent="0.3">
      <c r="B3" s="4" t="s">
        <v>70</v>
      </c>
      <c r="C3" s="4" t="s">
        <v>219</v>
      </c>
      <c r="D3" s="4" t="s">
        <v>220</v>
      </c>
      <c r="E3" s="4" t="s">
        <v>221</v>
      </c>
      <c r="F3" s="4" t="s">
        <v>222</v>
      </c>
      <c r="G3" s="4" t="s">
        <v>223</v>
      </c>
    </row>
    <row r="4" spans="2:7" x14ac:dyDescent="0.3">
      <c r="B4" s="4" t="s">
        <v>148</v>
      </c>
      <c r="C4" s="4">
        <v>62</v>
      </c>
      <c r="D4" s="4">
        <v>107</v>
      </c>
      <c r="E4" s="4">
        <v>107</v>
      </c>
      <c r="F4" s="4">
        <v>145</v>
      </c>
      <c r="G4" s="4">
        <f t="shared" ref="G4:G14" si="0">SUM(C4:F4)</f>
        <v>421</v>
      </c>
    </row>
    <row r="5" spans="2:7" x14ac:dyDescent="0.3">
      <c r="B5" s="4" t="s">
        <v>85</v>
      </c>
      <c r="C5" s="4">
        <v>62</v>
      </c>
      <c r="D5" s="4">
        <v>102</v>
      </c>
      <c r="E5" s="4">
        <v>94</v>
      </c>
      <c r="F5" s="4">
        <v>134</v>
      </c>
      <c r="G5" s="4">
        <f t="shared" si="0"/>
        <v>392</v>
      </c>
    </row>
    <row r="6" spans="2:7" x14ac:dyDescent="0.3">
      <c r="B6" s="4" t="s">
        <v>83</v>
      </c>
      <c r="C6" s="4">
        <v>141</v>
      </c>
      <c r="D6" s="4">
        <v>134</v>
      </c>
      <c r="E6" s="4">
        <v>128</v>
      </c>
      <c r="F6" s="4">
        <v>178</v>
      </c>
      <c r="G6" s="4">
        <f t="shared" si="0"/>
        <v>581</v>
      </c>
    </row>
    <row r="7" spans="2:7" x14ac:dyDescent="0.3">
      <c r="B7" s="4" t="s">
        <v>198</v>
      </c>
      <c r="C7" s="4">
        <v>126</v>
      </c>
      <c r="D7" s="4">
        <v>133</v>
      </c>
      <c r="E7" s="4">
        <v>128</v>
      </c>
      <c r="F7" s="4">
        <v>178</v>
      </c>
      <c r="G7" s="4">
        <f t="shared" si="0"/>
        <v>565</v>
      </c>
    </row>
    <row r="8" spans="2:7" x14ac:dyDescent="0.3">
      <c r="B8" s="4" t="s">
        <v>78</v>
      </c>
      <c r="C8" s="4">
        <v>92</v>
      </c>
      <c r="D8" s="4">
        <v>119</v>
      </c>
      <c r="E8" s="4">
        <v>126</v>
      </c>
      <c r="F8" s="4">
        <v>126</v>
      </c>
      <c r="G8" s="4">
        <f t="shared" si="0"/>
        <v>463</v>
      </c>
    </row>
    <row r="9" spans="2:7" x14ac:dyDescent="0.3">
      <c r="B9" s="4" t="s">
        <v>199</v>
      </c>
      <c r="C9" s="4">
        <v>133</v>
      </c>
      <c r="D9" s="4">
        <v>122</v>
      </c>
      <c r="E9" s="4">
        <v>124</v>
      </c>
      <c r="F9" s="4">
        <v>148</v>
      </c>
      <c r="G9" s="4">
        <f t="shared" si="0"/>
        <v>527</v>
      </c>
    </row>
    <row r="10" spans="2:7" x14ac:dyDescent="0.3">
      <c r="B10" s="4" t="s">
        <v>147</v>
      </c>
      <c r="C10" s="4">
        <v>120</v>
      </c>
      <c r="D10" s="4">
        <v>121</v>
      </c>
      <c r="E10" s="4">
        <v>126</v>
      </c>
      <c r="F10" s="4">
        <v>127</v>
      </c>
      <c r="G10" s="4">
        <f t="shared" si="0"/>
        <v>494</v>
      </c>
    </row>
    <row r="11" spans="2:7" x14ac:dyDescent="0.3">
      <c r="B11" s="4" t="s">
        <v>146</v>
      </c>
      <c r="C11" s="4"/>
      <c r="D11" s="4">
        <v>123</v>
      </c>
      <c r="E11" s="4">
        <v>128</v>
      </c>
      <c r="F11" s="4">
        <v>88</v>
      </c>
      <c r="G11" s="4">
        <f t="shared" si="0"/>
        <v>339</v>
      </c>
    </row>
    <row r="12" spans="2:7" x14ac:dyDescent="0.3">
      <c r="B12" s="4" t="s">
        <v>145</v>
      </c>
      <c r="C12" s="4"/>
      <c r="D12" s="4">
        <v>116</v>
      </c>
      <c r="E12" s="4">
        <v>119</v>
      </c>
      <c r="F12" s="4">
        <v>62</v>
      </c>
      <c r="G12" s="4">
        <f t="shared" si="0"/>
        <v>297</v>
      </c>
    </row>
    <row r="13" spans="2:7" x14ac:dyDescent="0.3">
      <c r="B13" s="4" t="s">
        <v>144</v>
      </c>
      <c r="C13" s="4"/>
      <c r="D13" s="4">
        <v>85</v>
      </c>
      <c r="E13" s="4">
        <v>90</v>
      </c>
      <c r="F13" s="4"/>
      <c r="G13" s="4">
        <f t="shared" si="0"/>
        <v>175</v>
      </c>
    </row>
    <row r="14" spans="2:7" x14ac:dyDescent="0.3">
      <c r="B14" s="4" t="s">
        <v>143</v>
      </c>
      <c r="C14" s="4"/>
      <c r="D14" s="4"/>
      <c r="E14" s="4">
        <v>64</v>
      </c>
      <c r="F14" s="4"/>
      <c r="G14" s="4">
        <f t="shared" si="0"/>
        <v>64</v>
      </c>
    </row>
    <row r="15" spans="2:7" x14ac:dyDescent="0.3">
      <c r="B15" s="4" t="s">
        <v>135</v>
      </c>
      <c r="C15" s="4">
        <f>SUM(C4:C14)</f>
        <v>736</v>
      </c>
      <c r="D15" s="4">
        <f>SUM(D4:D14)</f>
        <v>1162</v>
      </c>
      <c r="E15" s="4">
        <f>SUM(E4:E14)</f>
        <v>1234</v>
      </c>
      <c r="F15" s="4">
        <f>SUM(F4:F14)</f>
        <v>1186</v>
      </c>
      <c r="G15" s="4">
        <f>SUM(G4:G14)</f>
        <v>4318</v>
      </c>
    </row>
    <row r="17" spans="2:7" x14ac:dyDescent="0.3">
      <c r="B17" s="16" t="s">
        <v>224</v>
      </c>
    </row>
    <row r="18" spans="2:7" x14ac:dyDescent="0.3">
      <c r="B18" s="4" t="s">
        <v>70</v>
      </c>
      <c r="C18" s="4" t="s">
        <v>219</v>
      </c>
      <c r="D18" s="4" t="s">
        <v>220</v>
      </c>
      <c r="E18" s="4" t="s">
        <v>221</v>
      </c>
      <c r="F18" s="4" t="s">
        <v>222</v>
      </c>
      <c r="G18" s="4" t="s">
        <v>223</v>
      </c>
    </row>
    <row r="19" spans="2:7" x14ac:dyDescent="0.3">
      <c r="B19" s="4" t="s">
        <v>148</v>
      </c>
      <c r="C19" s="4">
        <v>99</v>
      </c>
      <c r="D19" s="4">
        <v>171</v>
      </c>
      <c r="E19" s="4">
        <v>171</v>
      </c>
      <c r="F19" s="4">
        <v>232</v>
      </c>
      <c r="G19" s="4">
        <f t="shared" ref="G19:G29" si="1">SUM(C19:F19)</f>
        <v>673</v>
      </c>
    </row>
    <row r="20" spans="2:7" x14ac:dyDescent="0.3">
      <c r="B20" s="4" t="s">
        <v>85</v>
      </c>
      <c r="C20" s="4">
        <v>99</v>
      </c>
      <c r="D20" s="4">
        <v>163</v>
      </c>
      <c r="E20" s="4">
        <v>150</v>
      </c>
      <c r="F20" s="4">
        <v>214</v>
      </c>
      <c r="G20" s="4">
        <f t="shared" si="1"/>
        <v>626</v>
      </c>
    </row>
    <row r="21" spans="2:7" x14ac:dyDescent="0.3">
      <c r="B21" s="4" t="s">
        <v>83</v>
      </c>
      <c r="C21" s="4">
        <v>226</v>
      </c>
      <c r="D21" s="4">
        <v>214</v>
      </c>
      <c r="E21" s="4">
        <v>205</v>
      </c>
      <c r="F21" s="4">
        <v>285</v>
      </c>
      <c r="G21" s="4">
        <f t="shared" si="1"/>
        <v>930</v>
      </c>
    </row>
    <row r="22" spans="2:7" x14ac:dyDescent="0.3">
      <c r="B22" s="4" t="s">
        <v>198</v>
      </c>
      <c r="C22" s="4">
        <v>202</v>
      </c>
      <c r="D22" s="4">
        <v>213</v>
      </c>
      <c r="E22" s="4">
        <v>210</v>
      </c>
      <c r="F22" s="4">
        <v>280</v>
      </c>
      <c r="G22" s="4">
        <f t="shared" si="1"/>
        <v>905</v>
      </c>
    </row>
    <row r="23" spans="2:7" x14ac:dyDescent="0.3">
      <c r="B23" s="4" t="s">
        <v>78</v>
      </c>
      <c r="C23" s="4">
        <v>147</v>
      </c>
      <c r="D23" s="4">
        <v>190</v>
      </c>
      <c r="E23" s="4">
        <v>202</v>
      </c>
      <c r="F23" s="4">
        <v>202</v>
      </c>
      <c r="G23" s="4">
        <f t="shared" si="1"/>
        <v>741</v>
      </c>
    </row>
    <row r="24" spans="2:7" x14ac:dyDescent="0.3">
      <c r="B24" s="4" t="s">
        <v>199</v>
      </c>
      <c r="C24" s="4">
        <v>213</v>
      </c>
      <c r="D24" s="4">
        <v>195</v>
      </c>
      <c r="E24" s="4">
        <v>198</v>
      </c>
      <c r="F24" s="4">
        <v>237</v>
      </c>
      <c r="G24" s="4">
        <f t="shared" si="1"/>
        <v>843</v>
      </c>
    </row>
    <row r="25" spans="2:7" x14ac:dyDescent="0.3">
      <c r="B25" s="4" t="s">
        <v>147</v>
      </c>
      <c r="C25" s="4">
        <v>192</v>
      </c>
      <c r="D25" s="4">
        <v>194</v>
      </c>
      <c r="E25" s="4">
        <v>202</v>
      </c>
      <c r="F25" s="4">
        <v>203</v>
      </c>
      <c r="G25" s="4">
        <f t="shared" si="1"/>
        <v>791</v>
      </c>
    </row>
    <row r="26" spans="2:7" x14ac:dyDescent="0.3">
      <c r="B26" s="4" t="s">
        <v>146</v>
      </c>
      <c r="C26" s="4"/>
      <c r="D26" s="4">
        <v>197</v>
      </c>
      <c r="E26" s="4">
        <v>205</v>
      </c>
      <c r="F26" s="4">
        <v>141</v>
      </c>
      <c r="G26" s="4">
        <f t="shared" si="1"/>
        <v>543</v>
      </c>
    </row>
    <row r="27" spans="2:7" x14ac:dyDescent="0.3">
      <c r="B27" s="4" t="s">
        <v>145</v>
      </c>
      <c r="C27" s="4"/>
      <c r="D27" s="4">
        <v>186</v>
      </c>
      <c r="E27" s="4">
        <v>190</v>
      </c>
      <c r="F27" s="4">
        <v>99</v>
      </c>
      <c r="G27" s="4">
        <f t="shared" si="1"/>
        <v>475</v>
      </c>
    </row>
    <row r="28" spans="2:7" x14ac:dyDescent="0.3">
      <c r="B28" s="4" t="s">
        <v>144</v>
      </c>
      <c r="C28" s="4"/>
      <c r="D28" s="4">
        <v>136</v>
      </c>
      <c r="E28" s="4">
        <v>144</v>
      </c>
      <c r="F28" s="4"/>
      <c r="G28" s="4">
        <f t="shared" si="1"/>
        <v>280</v>
      </c>
    </row>
    <row r="29" spans="2:7" x14ac:dyDescent="0.3">
      <c r="B29" s="4" t="s">
        <v>143</v>
      </c>
      <c r="C29" s="4"/>
      <c r="D29" s="4"/>
      <c r="E29" s="4">
        <v>102</v>
      </c>
      <c r="F29" s="4"/>
      <c r="G29" s="4">
        <f t="shared" si="1"/>
        <v>102</v>
      </c>
    </row>
    <row r="30" spans="2:7" x14ac:dyDescent="0.3">
      <c r="B30" s="13" t="s">
        <v>88</v>
      </c>
      <c r="C30" s="4">
        <f>SUM(C19:C29)</f>
        <v>1178</v>
      </c>
      <c r="D30" s="4">
        <f>SUM(D19:D29)</f>
        <v>1859</v>
      </c>
      <c r="E30" s="4">
        <f>SUM(E19:E29)</f>
        <v>1979</v>
      </c>
      <c r="F30" s="4">
        <f>SUM(F19:F29)</f>
        <v>1893</v>
      </c>
      <c r="G30" s="4">
        <f>SUM(G19:G29)</f>
        <v>6909</v>
      </c>
    </row>
    <row r="33" spans="2:7" x14ac:dyDescent="0.3">
      <c r="B33" t="s">
        <v>225</v>
      </c>
    </row>
    <row r="34" spans="2:7" x14ac:dyDescent="0.3">
      <c r="B34" t="s">
        <v>134</v>
      </c>
    </row>
    <row r="35" spans="2:7" x14ac:dyDescent="0.3">
      <c r="B35" s="4" t="s">
        <v>70</v>
      </c>
      <c r="C35" s="4" t="s">
        <v>219</v>
      </c>
      <c r="D35" s="4" t="s">
        <v>220</v>
      </c>
      <c r="E35" s="4" t="s">
        <v>221</v>
      </c>
      <c r="F35" s="4" t="s">
        <v>222</v>
      </c>
      <c r="G35" s="4" t="s">
        <v>223</v>
      </c>
    </row>
    <row r="36" spans="2:7" x14ac:dyDescent="0.3">
      <c r="B36" s="4" t="s">
        <v>148</v>
      </c>
      <c r="C36" s="4">
        <v>55</v>
      </c>
      <c r="D36" s="4">
        <v>96</v>
      </c>
      <c r="E36" s="4">
        <v>99</v>
      </c>
      <c r="F36" s="4">
        <v>125</v>
      </c>
      <c r="G36" s="4">
        <f t="shared" ref="G36:G46" si="2">SUM(C36:F36)</f>
        <v>375</v>
      </c>
    </row>
    <row r="37" spans="2:7" x14ac:dyDescent="0.3">
      <c r="B37" s="4" t="s">
        <v>85</v>
      </c>
      <c r="C37" s="4">
        <v>52</v>
      </c>
      <c r="D37" s="4">
        <v>86</v>
      </c>
      <c r="E37" s="4">
        <v>92</v>
      </c>
      <c r="F37" s="4">
        <v>121</v>
      </c>
      <c r="G37" s="4">
        <f t="shared" si="2"/>
        <v>351</v>
      </c>
    </row>
    <row r="38" spans="2:7" x14ac:dyDescent="0.3">
      <c r="B38" s="4" t="s">
        <v>83</v>
      </c>
      <c r="C38" s="4">
        <v>123</v>
      </c>
      <c r="D38" s="4">
        <v>130</v>
      </c>
      <c r="E38" s="4">
        <v>115</v>
      </c>
      <c r="F38" s="4">
        <v>168</v>
      </c>
      <c r="G38" s="4">
        <f t="shared" si="2"/>
        <v>536</v>
      </c>
    </row>
    <row r="39" spans="2:7" x14ac:dyDescent="0.3">
      <c r="B39" s="4" t="s">
        <v>198</v>
      </c>
      <c r="C39" s="4">
        <v>129</v>
      </c>
      <c r="D39" s="4">
        <v>122</v>
      </c>
      <c r="E39" s="4">
        <v>120</v>
      </c>
      <c r="F39" s="4">
        <v>166</v>
      </c>
      <c r="G39" s="4">
        <f t="shared" si="2"/>
        <v>537</v>
      </c>
    </row>
    <row r="40" spans="2:7" x14ac:dyDescent="0.3">
      <c r="B40" s="4" t="s">
        <v>78</v>
      </c>
      <c r="C40" s="4">
        <v>85</v>
      </c>
      <c r="D40" s="4">
        <v>105</v>
      </c>
      <c r="E40" s="4">
        <v>101</v>
      </c>
      <c r="F40" s="4">
        <v>129</v>
      </c>
      <c r="G40" s="4">
        <f t="shared" si="2"/>
        <v>420</v>
      </c>
    </row>
    <row r="41" spans="2:7" x14ac:dyDescent="0.3">
      <c r="B41" s="4" t="s">
        <v>199</v>
      </c>
      <c r="C41" s="4">
        <v>126</v>
      </c>
      <c r="D41" s="4">
        <v>114</v>
      </c>
      <c r="E41" s="4">
        <v>112</v>
      </c>
      <c r="F41" s="4">
        <v>133</v>
      </c>
      <c r="G41" s="4">
        <f t="shared" si="2"/>
        <v>485</v>
      </c>
    </row>
    <row r="42" spans="2:7" x14ac:dyDescent="0.3">
      <c r="B42" s="4" t="s">
        <v>147</v>
      </c>
      <c r="C42" s="4">
        <v>117</v>
      </c>
      <c r="D42" s="4">
        <v>112</v>
      </c>
      <c r="E42" s="4">
        <v>121</v>
      </c>
      <c r="F42" s="4">
        <v>110</v>
      </c>
      <c r="G42" s="4">
        <f t="shared" si="2"/>
        <v>460</v>
      </c>
    </row>
    <row r="43" spans="2:7" x14ac:dyDescent="0.3">
      <c r="B43" s="4" t="s">
        <v>146</v>
      </c>
      <c r="C43" s="4"/>
      <c r="D43" s="4">
        <v>113</v>
      </c>
      <c r="E43" s="4">
        <v>123</v>
      </c>
      <c r="F43" s="4">
        <v>81</v>
      </c>
      <c r="G43" s="4">
        <f t="shared" si="2"/>
        <v>317</v>
      </c>
    </row>
    <row r="44" spans="2:7" x14ac:dyDescent="0.3">
      <c r="B44" s="4" t="s">
        <v>145</v>
      </c>
      <c r="C44" s="4"/>
      <c r="D44" s="4">
        <v>113</v>
      </c>
      <c r="E44" s="4">
        <v>122</v>
      </c>
      <c r="F44" s="4">
        <v>55</v>
      </c>
      <c r="G44" s="4">
        <f t="shared" si="2"/>
        <v>290</v>
      </c>
    </row>
    <row r="45" spans="2:7" x14ac:dyDescent="0.3">
      <c r="B45" s="4" t="s">
        <v>144</v>
      </c>
      <c r="C45" s="4"/>
      <c r="D45" s="4">
        <v>82</v>
      </c>
      <c r="E45" s="4">
        <v>89</v>
      </c>
      <c r="F45" s="4"/>
      <c r="G45" s="4">
        <f t="shared" si="2"/>
        <v>171</v>
      </c>
    </row>
    <row r="46" spans="2:7" x14ac:dyDescent="0.3">
      <c r="B46" s="4" t="s">
        <v>143</v>
      </c>
      <c r="C46" s="4"/>
      <c r="D46" s="4"/>
      <c r="E46" s="4">
        <v>60</v>
      </c>
      <c r="F46" s="4"/>
      <c r="G46" s="4">
        <f t="shared" si="2"/>
        <v>60</v>
      </c>
    </row>
    <row r="47" spans="2:7" x14ac:dyDescent="0.3">
      <c r="B47" s="4" t="s">
        <v>135</v>
      </c>
      <c r="C47" s="4">
        <f>SUM(C36:C46)</f>
        <v>687</v>
      </c>
      <c r="D47" s="4">
        <f>SUM(D36:D46)</f>
        <v>1073</v>
      </c>
      <c r="E47" s="4">
        <f>SUM(E36:E46)</f>
        <v>1154</v>
      </c>
      <c r="F47" s="4">
        <f>SUM(F36:F46)</f>
        <v>1088</v>
      </c>
      <c r="G47" s="4">
        <f>SUM(G36:G46)</f>
        <v>4002</v>
      </c>
    </row>
    <row r="49" spans="2:7" x14ac:dyDescent="0.3">
      <c r="B49" s="16" t="s">
        <v>224</v>
      </c>
    </row>
    <row r="50" spans="2:7" x14ac:dyDescent="0.3">
      <c r="B50" s="4" t="s">
        <v>70</v>
      </c>
      <c r="C50" s="4" t="s">
        <v>219</v>
      </c>
      <c r="D50" s="4" t="s">
        <v>220</v>
      </c>
      <c r="E50" s="4" t="s">
        <v>221</v>
      </c>
      <c r="F50" s="4" t="s">
        <v>222</v>
      </c>
      <c r="G50" s="4" t="s">
        <v>223</v>
      </c>
    </row>
    <row r="51" spans="2:7" x14ac:dyDescent="0.3">
      <c r="B51" s="4" t="s">
        <v>148</v>
      </c>
      <c r="C51" s="4">
        <v>85</v>
      </c>
      <c r="D51" s="4">
        <v>148</v>
      </c>
      <c r="E51" s="4">
        <v>152</v>
      </c>
      <c r="F51" s="4">
        <v>192</v>
      </c>
      <c r="G51" s="4">
        <f t="shared" ref="G51:G61" si="3">SUM(C51:F51)</f>
        <v>577</v>
      </c>
    </row>
    <row r="52" spans="2:7" x14ac:dyDescent="0.3">
      <c r="B52" s="4" t="s">
        <v>85</v>
      </c>
      <c r="C52" s="4">
        <v>80</v>
      </c>
      <c r="D52" s="4">
        <v>132</v>
      </c>
      <c r="E52" s="4">
        <v>142</v>
      </c>
      <c r="F52" s="4">
        <v>186</v>
      </c>
      <c r="G52" s="4">
        <f t="shared" si="3"/>
        <v>540</v>
      </c>
    </row>
    <row r="53" spans="2:7" x14ac:dyDescent="0.3">
      <c r="B53" s="4" t="s">
        <v>83</v>
      </c>
      <c r="C53" s="4">
        <v>189</v>
      </c>
      <c r="D53" s="4">
        <v>200</v>
      </c>
      <c r="E53" s="4">
        <v>177</v>
      </c>
      <c r="F53" s="4">
        <v>259</v>
      </c>
      <c r="G53" s="4">
        <f t="shared" si="3"/>
        <v>825</v>
      </c>
    </row>
    <row r="54" spans="2:7" x14ac:dyDescent="0.3">
      <c r="B54" s="4" t="s">
        <v>198</v>
      </c>
      <c r="C54" s="4">
        <v>199</v>
      </c>
      <c r="D54" s="4">
        <v>188</v>
      </c>
      <c r="E54" s="4">
        <v>185</v>
      </c>
      <c r="F54" s="4">
        <v>256</v>
      </c>
      <c r="G54" s="4">
        <f t="shared" si="3"/>
        <v>828</v>
      </c>
    </row>
    <row r="55" spans="2:7" x14ac:dyDescent="0.3">
      <c r="B55" s="4" t="s">
        <v>78</v>
      </c>
      <c r="C55" s="4">
        <v>131</v>
      </c>
      <c r="D55" s="4">
        <v>162</v>
      </c>
      <c r="E55" s="4">
        <v>156</v>
      </c>
      <c r="F55" s="4">
        <v>199</v>
      </c>
      <c r="G55" s="4">
        <f t="shared" si="3"/>
        <v>648</v>
      </c>
    </row>
    <row r="56" spans="2:7" x14ac:dyDescent="0.3">
      <c r="B56" s="4" t="s">
        <v>199</v>
      </c>
      <c r="C56" s="4">
        <v>194</v>
      </c>
      <c r="D56" s="4">
        <v>176</v>
      </c>
      <c r="E56" s="4">
        <v>172</v>
      </c>
      <c r="F56" s="4">
        <v>205</v>
      </c>
      <c r="G56" s="4">
        <f t="shared" si="3"/>
        <v>747</v>
      </c>
    </row>
    <row r="57" spans="2:7" x14ac:dyDescent="0.3">
      <c r="B57" s="4" t="s">
        <v>147</v>
      </c>
      <c r="C57" s="4">
        <v>180</v>
      </c>
      <c r="D57" s="4">
        <v>172</v>
      </c>
      <c r="E57" s="4">
        <v>186</v>
      </c>
      <c r="F57" s="4">
        <v>169</v>
      </c>
      <c r="G57" s="4">
        <f t="shared" si="3"/>
        <v>707</v>
      </c>
    </row>
    <row r="58" spans="2:7" x14ac:dyDescent="0.3">
      <c r="B58" s="4" t="s">
        <v>146</v>
      </c>
      <c r="C58" s="4"/>
      <c r="D58" s="4">
        <v>174</v>
      </c>
      <c r="E58" s="4">
        <v>189</v>
      </c>
      <c r="F58" s="4">
        <v>125</v>
      </c>
      <c r="G58" s="4">
        <f t="shared" si="3"/>
        <v>488</v>
      </c>
    </row>
    <row r="59" spans="2:7" x14ac:dyDescent="0.3">
      <c r="B59" s="4" t="s">
        <v>145</v>
      </c>
      <c r="C59" s="4"/>
      <c r="D59" s="4">
        <v>174</v>
      </c>
      <c r="E59" s="4">
        <v>188</v>
      </c>
      <c r="F59" s="4">
        <v>85</v>
      </c>
      <c r="G59" s="4">
        <f t="shared" si="3"/>
        <v>447</v>
      </c>
    </row>
    <row r="60" spans="2:7" x14ac:dyDescent="0.3">
      <c r="B60" s="4" t="s">
        <v>144</v>
      </c>
      <c r="C60" s="4"/>
      <c r="D60" s="4">
        <v>126</v>
      </c>
      <c r="E60" s="4">
        <v>137</v>
      </c>
      <c r="F60" s="4"/>
      <c r="G60" s="4">
        <f t="shared" si="3"/>
        <v>263</v>
      </c>
    </row>
    <row r="61" spans="2:7" x14ac:dyDescent="0.3">
      <c r="B61" s="4" t="s">
        <v>143</v>
      </c>
      <c r="C61" s="4"/>
      <c r="D61" s="4"/>
      <c r="E61" s="4">
        <v>92</v>
      </c>
      <c r="F61" s="4"/>
      <c r="G61" s="4">
        <f t="shared" si="3"/>
        <v>92</v>
      </c>
    </row>
    <row r="62" spans="2:7" x14ac:dyDescent="0.3">
      <c r="B62" s="13" t="s">
        <v>88</v>
      </c>
      <c r="C62" s="4">
        <f>SUM(C51:C61)</f>
        <v>1058</v>
      </c>
      <c r="D62" s="4">
        <f>SUM(D51:D61)</f>
        <v>1652</v>
      </c>
      <c r="E62" s="4">
        <f>SUM(E51:E61)</f>
        <v>1776</v>
      </c>
      <c r="F62" s="4">
        <f>SUM(F51:F61)</f>
        <v>1676</v>
      </c>
      <c r="G62" s="4">
        <f>SUM(G51:G61)</f>
        <v>6162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74"/>
  <sheetViews>
    <sheetView topLeftCell="A52" zoomScaleNormal="100" workbookViewId="0">
      <selection activeCell="O67" sqref="O67"/>
    </sheetView>
  </sheetViews>
  <sheetFormatPr defaultRowHeight="16.5" x14ac:dyDescent="0.3"/>
  <cols>
    <col min="1" max="1025" width="8.625" customWidth="1"/>
  </cols>
  <sheetData>
    <row r="1" spans="1:17" x14ac:dyDescent="0.3">
      <c r="A1" t="s">
        <v>226</v>
      </c>
      <c r="B1">
        <v>4</v>
      </c>
      <c r="C1">
        <v>94710</v>
      </c>
      <c r="D1">
        <v>98579</v>
      </c>
      <c r="E1">
        <v>100188</v>
      </c>
      <c r="F1">
        <v>106081</v>
      </c>
      <c r="J1" t="s">
        <v>16</v>
      </c>
      <c r="K1" t="s">
        <v>17</v>
      </c>
      <c r="O1" t="s">
        <v>16</v>
      </c>
      <c r="P1" t="s">
        <v>17</v>
      </c>
    </row>
    <row r="2" spans="1:17" x14ac:dyDescent="0.3">
      <c r="A2" t="s">
        <v>227</v>
      </c>
      <c r="B2">
        <v>4</v>
      </c>
      <c r="C2">
        <v>91266</v>
      </c>
      <c r="D2">
        <v>94710</v>
      </c>
      <c r="E2">
        <v>106081</v>
      </c>
      <c r="F2">
        <v>106054</v>
      </c>
      <c r="J2">
        <v>5325</v>
      </c>
      <c r="K2">
        <v>125409.70709425599</v>
      </c>
      <c r="L2">
        <v>125409.70709425599</v>
      </c>
      <c r="O2">
        <v>5325</v>
      </c>
      <c r="P2" s="2">
        <v>119781.19178226699</v>
      </c>
      <c r="Q2" s="2">
        <v>119781.19178226699</v>
      </c>
    </row>
    <row r="3" spans="1:17" x14ac:dyDescent="0.3">
      <c r="A3" t="s">
        <v>228</v>
      </c>
      <c r="B3">
        <v>4</v>
      </c>
      <c r="C3">
        <v>84767</v>
      </c>
      <c r="D3">
        <v>91266</v>
      </c>
      <c r="E3">
        <v>106054</v>
      </c>
      <c r="F3">
        <v>106055</v>
      </c>
      <c r="J3">
        <v>5880</v>
      </c>
      <c r="K3">
        <v>125409.70709425599</v>
      </c>
      <c r="L3">
        <v>125409.70709425599</v>
      </c>
      <c r="O3">
        <v>8863</v>
      </c>
      <c r="P3" s="2">
        <v>119781.19178226699</v>
      </c>
      <c r="Q3" s="2">
        <v>119781.19178226699</v>
      </c>
    </row>
    <row r="4" spans="1:17" x14ac:dyDescent="0.3">
      <c r="A4" t="s">
        <v>229</v>
      </c>
      <c r="B4">
        <v>4</v>
      </c>
      <c r="C4">
        <v>75772</v>
      </c>
      <c r="D4">
        <v>84767</v>
      </c>
      <c r="E4">
        <v>106055</v>
      </c>
      <c r="F4">
        <v>106056</v>
      </c>
      <c r="J4">
        <v>14339</v>
      </c>
      <c r="K4">
        <v>125409.70709425599</v>
      </c>
      <c r="L4">
        <v>125409.70709425599</v>
      </c>
      <c r="O4">
        <v>16550</v>
      </c>
      <c r="P4" s="2">
        <v>119781.19178226699</v>
      </c>
      <c r="Q4" s="2">
        <v>119781.19178226699</v>
      </c>
    </row>
    <row r="5" spans="1:17" x14ac:dyDescent="0.3">
      <c r="A5" t="s">
        <v>230</v>
      </c>
      <c r="B5">
        <v>4</v>
      </c>
      <c r="C5">
        <v>69565</v>
      </c>
      <c r="D5">
        <v>75772</v>
      </c>
      <c r="E5">
        <v>106056</v>
      </c>
      <c r="F5">
        <v>106057</v>
      </c>
      <c r="J5">
        <v>18148</v>
      </c>
      <c r="K5">
        <v>125409.70709425599</v>
      </c>
      <c r="L5">
        <v>125409.70709425599</v>
      </c>
      <c r="O5">
        <v>20174</v>
      </c>
      <c r="P5" s="2">
        <v>119781.19178226699</v>
      </c>
      <c r="Q5" s="2">
        <v>284497.90377920802</v>
      </c>
    </row>
    <row r="6" spans="1:17" x14ac:dyDescent="0.3">
      <c r="A6" t="s">
        <v>231</v>
      </c>
      <c r="B6">
        <v>4</v>
      </c>
      <c r="C6">
        <v>61494</v>
      </c>
      <c r="D6">
        <v>69565</v>
      </c>
      <c r="E6">
        <v>106057</v>
      </c>
      <c r="F6">
        <v>106051</v>
      </c>
      <c r="J6">
        <v>19032</v>
      </c>
      <c r="K6">
        <v>104415.593037607</v>
      </c>
      <c r="L6">
        <v>104415.593037607</v>
      </c>
      <c r="O6">
        <v>27373</v>
      </c>
      <c r="P6" s="2">
        <v>164716.71199694101</v>
      </c>
      <c r="Q6" s="2">
        <v>164716.71199694101</v>
      </c>
    </row>
    <row r="7" spans="1:17" x14ac:dyDescent="0.3">
      <c r="A7" t="s">
        <v>232</v>
      </c>
      <c r="B7">
        <v>4</v>
      </c>
      <c r="C7">
        <v>53286</v>
      </c>
      <c r="D7">
        <v>61494</v>
      </c>
      <c r="E7">
        <v>106051</v>
      </c>
      <c r="F7">
        <v>106052</v>
      </c>
      <c r="J7">
        <v>20255</v>
      </c>
      <c r="K7">
        <v>104415.593037607</v>
      </c>
      <c r="L7">
        <v>104415.593037607</v>
      </c>
      <c r="O7">
        <v>28674</v>
      </c>
      <c r="P7" s="2">
        <v>164716.71199694101</v>
      </c>
      <c r="Q7" s="2">
        <v>146267.98480932499</v>
      </c>
    </row>
    <row r="8" spans="1:17" x14ac:dyDescent="0.3">
      <c r="A8" t="s">
        <v>233</v>
      </c>
      <c r="B8">
        <v>4</v>
      </c>
      <c r="C8">
        <v>47105</v>
      </c>
      <c r="D8">
        <v>53286</v>
      </c>
      <c r="E8">
        <v>106052</v>
      </c>
      <c r="F8">
        <v>106088</v>
      </c>
      <c r="J8">
        <v>28136</v>
      </c>
      <c r="K8">
        <v>127574.00762171</v>
      </c>
      <c r="L8">
        <v>231989.60065931699</v>
      </c>
      <c r="O8">
        <v>37097</v>
      </c>
      <c r="P8" s="2">
        <v>146267.98480932499</v>
      </c>
      <c r="Q8" s="2">
        <v>293277.217337412</v>
      </c>
    </row>
    <row r="9" spans="1:17" x14ac:dyDescent="0.3">
      <c r="A9" t="s">
        <v>234</v>
      </c>
      <c r="B9">
        <v>4</v>
      </c>
      <c r="C9">
        <v>38849</v>
      </c>
      <c r="D9">
        <v>47105</v>
      </c>
      <c r="E9">
        <v>106083</v>
      </c>
      <c r="F9">
        <v>106082</v>
      </c>
      <c r="J9">
        <v>38849</v>
      </c>
      <c r="K9">
        <v>104415.593037607</v>
      </c>
      <c r="L9">
        <v>235067.12530987899</v>
      </c>
      <c r="O9">
        <v>45234</v>
      </c>
      <c r="P9" s="2">
        <v>147009.23252808701</v>
      </c>
      <c r="Q9" s="2">
        <v>290551.44837544201</v>
      </c>
    </row>
    <row r="10" spans="1:17" x14ac:dyDescent="0.3">
      <c r="A10" t="s">
        <v>235</v>
      </c>
      <c r="B10">
        <v>4</v>
      </c>
      <c r="C10">
        <v>106084</v>
      </c>
      <c r="D10">
        <v>28136</v>
      </c>
      <c r="E10">
        <v>38849</v>
      </c>
      <c r="F10">
        <v>106082</v>
      </c>
      <c r="J10">
        <v>47105</v>
      </c>
      <c r="K10">
        <v>107493.117688169</v>
      </c>
      <c r="L10">
        <v>229508.478888654</v>
      </c>
      <c r="O10">
        <v>53005</v>
      </c>
      <c r="P10" s="2">
        <v>146267.98480932499</v>
      </c>
      <c r="Q10" s="2">
        <v>265878.90253969101</v>
      </c>
    </row>
    <row r="11" spans="1:17" x14ac:dyDescent="0.3">
      <c r="A11" t="s">
        <v>236</v>
      </c>
      <c r="B11">
        <v>5</v>
      </c>
      <c r="C11">
        <v>106085</v>
      </c>
      <c r="D11">
        <v>106084</v>
      </c>
      <c r="E11">
        <v>28136</v>
      </c>
      <c r="F11">
        <v>20255</v>
      </c>
      <c r="G11">
        <v>19032</v>
      </c>
      <c r="J11">
        <v>53286</v>
      </c>
      <c r="K11">
        <v>127574.00762171</v>
      </c>
      <c r="L11">
        <v>274927.08688485698</v>
      </c>
      <c r="O11">
        <v>61765</v>
      </c>
      <c r="P11" s="2">
        <v>147009.23252808701</v>
      </c>
      <c r="Q11" s="2">
        <v>211702.40268474101</v>
      </c>
    </row>
    <row r="12" spans="1:17" x14ac:dyDescent="0.3">
      <c r="A12" t="s">
        <v>237</v>
      </c>
      <c r="B12">
        <v>5</v>
      </c>
      <c r="C12">
        <v>18148</v>
      </c>
      <c r="D12">
        <v>14339</v>
      </c>
      <c r="E12">
        <v>5880</v>
      </c>
      <c r="F12">
        <v>5325</v>
      </c>
      <c r="G12">
        <v>106086</v>
      </c>
      <c r="J12">
        <v>61494</v>
      </c>
      <c r="K12">
        <v>122015.361200485</v>
      </c>
      <c r="L12">
        <v>314840.60270847601</v>
      </c>
      <c r="O12">
        <v>69835</v>
      </c>
      <c r="P12" s="2">
        <v>143542.21584735499</v>
      </c>
      <c r="Q12" s="2">
        <v>181933.69146579501</v>
      </c>
    </row>
    <row r="13" spans="1:17" x14ac:dyDescent="0.3">
      <c r="J13">
        <v>69565</v>
      </c>
      <c r="K13">
        <v>107493.117688169</v>
      </c>
      <c r="L13">
        <v>326569.51352919498</v>
      </c>
      <c r="O13">
        <v>76003</v>
      </c>
      <c r="P13" s="2">
        <v>143542.21584735499</v>
      </c>
      <c r="Q13" s="2">
        <v>183388.167941347</v>
      </c>
    </row>
    <row r="14" spans="1:17" x14ac:dyDescent="0.3">
      <c r="A14" t="s">
        <v>6</v>
      </c>
      <c r="B14">
        <v>4</v>
      </c>
      <c r="C14">
        <v>106081</v>
      </c>
      <c r="D14">
        <v>100188</v>
      </c>
      <c r="E14">
        <v>100152</v>
      </c>
      <c r="F14">
        <v>94792</v>
      </c>
      <c r="J14">
        <v>75772</v>
      </c>
      <c r="K14">
        <v>152911.72568437201</v>
      </c>
      <c r="L14">
        <v>327243.19751832902</v>
      </c>
      <c r="O14">
        <v>85014</v>
      </c>
      <c r="P14" s="2">
        <v>122336.68669233601</v>
      </c>
      <c r="Q14" s="2">
        <v>213286.50890078599</v>
      </c>
    </row>
    <row r="15" spans="1:17" x14ac:dyDescent="0.3">
      <c r="A15" t="s">
        <v>7</v>
      </c>
      <c r="B15">
        <v>4</v>
      </c>
      <c r="C15">
        <v>106054</v>
      </c>
      <c r="D15">
        <v>106081</v>
      </c>
      <c r="E15">
        <v>94792</v>
      </c>
      <c r="F15">
        <v>91405</v>
      </c>
      <c r="J15">
        <v>84767</v>
      </c>
      <c r="K15">
        <v>122015.361200485</v>
      </c>
      <c r="L15">
        <v>324914.82954006002</v>
      </c>
      <c r="O15">
        <v>91405</v>
      </c>
      <c r="P15" s="2">
        <v>122336.68669233601</v>
      </c>
      <c r="Q15" s="2">
        <v>192763.17549712499</v>
      </c>
    </row>
    <row r="16" spans="1:17" x14ac:dyDescent="0.3">
      <c r="A16" t="s">
        <v>8</v>
      </c>
      <c r="B16">
        <v>4</v>
      </c>
      <c r="C16">
        <v>106090</v>
      </c>
      <c r="D16">
        <v>106041</v>
      </c>
      <c r="E16">
        <v>91405</v>
      </c>
      <c r="F16">
        <v>85014</v>
      </c>
      <c r="J16">
        <v>91266</v>
      </c>
      <c r="K16">
        <v>161928.87702410499</v>
      </c>
      <c r="L16">
        <v>241282.43219579101</v>
      </c>
      <c r="O16">
        <v>94792</v>
      </c>
      <c r="P16" s="2">
        <v>89365.715992404701</v>
      </c>
      <c r="Q16" s="2">
        <v>167340.870180389</v>
      </c>
    </row>
    <row r="17" spans="1:17" x14ac:dyDescent="0.3">
      <c r="A17" t="s">
        <v>9</v>
      </c>
      <c r="B17">
        <v>4</v>
      </c>
      <c r="C17">
        <v>76003</v>
      </c>
      <c r="D17">
        <v>106092</v>
      </c>
      <c r="E17">
        <v>106090</v>
      </c>
      <c r="F17">
        <v>85014</v>
      </c>
      <c r="J17">
        <v>94710</v>
      </c>
      <c r="K17">
        <v>152911.72568437201</v>
      </c>
      <c r="L17">
        <v>182666.427422332</v>
      </c>
      <c r="O17">
        <v>100152</v>
      </c>
      <c r="P17" s="2">
        <v>89365.715992404701</v>
      </c>
      <c r="Q17" s="2">
        <v>97044.011116092603</v>
      </c>
    </row>
    <row r="18" spans="1:17" x14ac:dyDescent="0.3">
      <c r="A18" t="s">
        <v>10</v>
      </c>
      <c r="B18">
        <v>4</v>
      </c>
      <c r="C18">
        <v>106093</v>
      </c>
      <c r="D18">
        <v>106092</v>
      </c>
      <c r="E18">
        <v>76003</v>
      </c>
      <c r="F18">
        <v>69835</v>
      </c>
      <c r="J18">
        <v>98579</v>
      </c>
      <c r="K18">
        <v>164640.63650508999</v>
      </c>
      <c r="L18">
        <v>103696.263753363</v>
      </c>
      <c r="O18">
        <v>100188</v>
      </c>
      <c r="P18" s="2">
        <v>92567.975473390004</v>
      </c>
      <c r="Q18" s="2">
        <v>97044.011116092603</v>
      </c>
    </row>
    <row r="19" spans="1:17" x14ac:dyDescent="0.3">
      <c r="A19" t="s">
        <v>3</v>
      </c>
      <c r="B19">
        <v>4</v>
      </c>
      <c r="C19">
        <v>106094</v>
      </c>
      <c r="D19">
        <v>106093</v>
      </c>
      <c r="E19">
        <v>69835</v>
      </c>
      <c r="F19">
        <v>61765</v>
      </c>
      <c r="J19">
        <v>100188</v>
      </c>
      <c r="K19">
        <v>161928.87702410499</v>
      </c>
      <c r="L19">
        <v>103696.263753363</v>
      </c>
      <c r="O19">
        <v>106035</v>
      </c>
      <c r="P19" s="2">
        <v>90820.192467957197</v>
      </c>
      <c r="Q19" s="2">
        <v>265878.90253969101</v>
      </c>
    </row>
    <row r="20" spans="1:17" x14ac:dyDescent="0.3">
      <c r="A20" t="s">
        <v>11</v>
      </c>
      <c r="B20">
        <v>4</v>
      </c>
      <c r="C20">
        <v>61765</v>
      </c>
      <c r="D20">
        <v>106094</v>
      </c>
      <c r="E20">
        <v>106035</v>
      </c>
      <c r="F20">
        <v>53005</v>
      </c>
      <c r="J20">
        <v>106051</v>
      </c>
      <c r="K20">
        <v>162602.561013239</v>
      </c>
      <c r="L20">
        <v>314840.60270847601</v>
      </c>
      <c r="O20">
        <v>106036</v>
      </c>
      <c r="P20" s="2">
        <v>92567.975473390004</v>
      </c>
      <c r="Q20" s="2">
        <v>290551.44837544201</v>
      </c>
    </row>
    <row r="21" spans="1:17" x14ac:dyDescent="0.3">
      <c r="A21" t="s">
        <v>4</v>
      </c>
      <c r="B21">
        <v>4</v>
      </c>
      <c r="C21">
        <v>106036</v>
      </c>
      <c r="D21">
        <v>106035</v>
      </c>
      <c r="E21">
        <v>53005</v>
      </c>
      <c r="F21">
        <v>45234</v>
      </c>
      <c r="J21">
        <v>106052</v>
      </c>
      <c r="K21">
        <v>164640.63650508999</v>
      </c>
      <c r="L21">
        <v>274927.08688485698</v>
      </c>
      <c r="O21">
        <v>106037</v>
      </c>
      <c r="P21" s="2">
        <v>122466.316432829</v>
      </c>
      <c r="Q21" s="2">
        <v>293277.217337412</v>
      </c>
    </row>
    <row r="22" spans="1:17" x14ac:dyDescent="0.3">
      <c r="A22" t="s">
        <v>12</v>
      </c>
      <c r="B22">
        <v>4</v>
      </c>
      <c r="C22">
        <v>106037</v>
      </c>
      <c r="D22">
        <v>106036</v>
      </c>
      <c r="E22">
        <v>45234</v>
      </c>
      <c r="F22">
        <v>37097</v>
      </c>
      <c r="J22">
        <v>106054</v>
      </c>
      <c r="K22">
        <v>162312.26852682099</v>
      </c>
      <c r="L22">
        <v>241282.43219579101</v>
      </c>
      <c r="O22">
        <v>106038</v>
      </c>
      <c r="P22" s="2">
        <v>90820.192467957197</v>
      </c>
      <c r="Q22" s="2">
        <v>310984.69680626597</v>
      </c>
    </row>
    <row r="23" spans="1:17" x14ac:dyDescent="0.3">
      <c r="A23" t="s">
        <v>13</v>
      </c>
      <c r="B23">
        <v>4</v>
      </c>
      <c r="C23">
        <v>28674</v>
      </c>
      <c r="D23">
        <v>106038</v>
      </c>
      <c r="E23">
        <v>106037</v>
      </c>
      <c r="F23">
        <v>37097</v>
      </c>
      <c r="J23">
        <v>106055</v>
      </c>
      <c r="K23">
        <v>162602.561013239</v>
      </c>
      <c r="L23">
        <v>324914.82954006002</v>
      </c>
      <c r="O23">
        <v>106041</v>
      </c>
      <c r="P23" s="2">
        <v>122466.316432829</v>
      </c>
      <c r="Q23" s="2">
        <v>122466.316432829</v>
      </c>
    </row>
    <row r="24" spans="1:17" x14ac:dyDescent="0.3">
      <c r="A24" t="s">
        <v>14</v>
      </c>
      <c r="B24">
        <v>4</v>
      </c>
      <c r="C24">
        <v>106087</v>
      </c>
      <c r="D24">
        <v>106038</v>
      </c>
      <c r="E24">
        <v>27373</v>
      </c>
      <c r="F24">
        <v>20174</v>
      </c>
      <c r="J24">
        <v>106056</v>
      </c>
      <c r="K24">
        <v>78970.163668969893</v>
      </c>
      <c r="L24">
        <v>327243.19751832902</v>
      </c>
      <c r="O24">
        <v>106054</v>
      </c>
      <c r="P24" s="2">
        <v>70296.859064296601</v>
      </c>
      <c r="Q24" s="2">
        <v>70296.859064296601</v>
      </c>
    </row>
    <row r="25" spans="1:17" x14ac:dyDescent="0.3">
      <c r="A25" t="s">
        <v>15</v>
      </c>
      <c r="B25">
        <v>5</v>
      </c>
      <c r="C25">
        <v>5325</v>
      </c>
      <c r="D25">
        <v>106087</v>
      </c>
      <c r="E25">
        <v>20174</v>
      </c>
      <c r="F25">
        <v>16550</v>
      </c>
      <c r="G25">
        <v>8863</v>
      </c>
      <c r="J25">
        <v>106057</v>
      </c>
      <c r="K25">
        <v>162312.26852682099</v>
      </c>
      <c r="L25">
        <v>326569.51352919498</v>
      </c>
      <c r="O25">
        <v>106081</v>
      </c>
      <c r="P25" s="2">
        <v>70296.859064296601</v>
      </c>
      <c r="Q25" s="2">
        <v>167340.870180389</v>
      </c>
    </row>
    <row r="26" spans="1:17" x14ac:dyDescent="0.3">
      <c r="J26">
        <v>106081</v>
      </c>
      <c r="K26">
        <v>103696.263753363</v>
      </c>
      <c r="L26">
        <v>182666.427422332</v>
      </c>
      <c r="O26">
        <v>106087</v>
      </c>
      <c r="P26" s="2">
        <v>97044.011116092603</v>
      </c>
      <c r="Q26" s="2">
        <v>284497.90377920802</v>
      </c>
    </row>
    <row r="27" spans="1:17" x14ac:dyDescent="0.3">
      <c r="J27">
        <v>106082</v>
      </c>
      <c r="K27">
        <v>78970.163668969893</v>
      </c>
      <c r="L27">
        <v>235067.12530987899</v>
      </c>
      <c r="O27">
        <v>106090</v>
      </c>
      <c r="P27" s="2">
        <v>97044.011116092603</v>
      </c>
      <c r="Q27" s="2">
        <v>213286.50890078599</v>
      </c>
    </row>
    <row r="28" spans="1:17" x14ac:dyDescent="0.3">
      <c r="F28" s="2">
        <v>103696.263753363</v>
      </c>
      <c r="G28" s="2">
        <f>F28</f>
        <v>103696.263753363</v>
      </c>
      <c r="J28">
        <v>106083</v>
      </c>
      <c r="K28">
        <v>103696.263753363</v>
      </c>
      <c r="L28">
        <v>107493.117688169</v>
      </c>
      <c r="O28">
        <v>106092</v>
      </c>
      <c r="P28" s="2">
        <v>97044.011116092603</v>
      </c>
      <c r="Q28" s="2">
        <v>183388.167941347</v>
      </c>
    </row>
    <row r="29" spans="1:17" x14ac:dyDescent="0.3">
      <c r="E29" s="2">
        <f>F29</f>
        <v>97044.011116092603</v>
      </c>
      <c r="F29" s="2">
        <v>97044.011116092603</v>
      </c>
      <c r="G29" s="2"/>
      <c r="J29">
        <v>106084</v>
      </c>
      <c r="K29">
        <v>103696.263753363</v>
      </c>
      <c r="L29">
        <v>231989.60065931699</v>
      </c>
      <c r="O29">
        <v>106093</v>
      </c>
      <c r="P29" s="2">
        <v>143542.21584735499</v>
      </c>
      <c r="Q29" s="2">
        <v>181933.69146579501</v>
      </c>
    </row>
    <row r="30" spans="1:17" x14ac:dyDescent="0.3">
      <c r="F30" s="2">
        <v>78970.163668969893</v>
      </c>
      <c r="G30" s="2">
        <f>F30</f>
        <v>78970.163668969893</v>
      </c>
      <c r="J30">
        <v>106085</v>
      </c>
      <c r="K30">
        <v>152911.72568437201</v>
      </c>
      <c r="L30">
        <v>104415.593037607</v>
      </c>
      <c r="O30">
        <v>106094</v>
      </c>
      <c r="P30" s="2">
        <v>122336.68669233601</v>
      </c>
      <c r="Q30" s="2">
        <v>211702.40268474101</v>
      </c>
    </row>
    <row r="31" spans="1:17" x14ac:dyDescent="0.3">
      <c r="E31" s="2">
        <f>F31</f>
        <v>70296.859064296601</v>
      </c>
      <c r="F31" s="2">
        <v>70296.859064296601</v>
      </c>
      <c r="G31" s="2"/>
      <c r="J31">
        <v>106086</v>
      </c>
      <c r="K31">
        <v>161928.87702410499</v>
      </c>
      <c r="L31">
        <v>125409.70709425599</v>
      </c>
      <c r="P31" s="2">
        <v>143542.21584735499</v>
      </c>
    </row>
    <row r="32" spans="1:17" x14ac:dyDescent="0.3">
      <c r="F32" s="2">
        <v>162312.26852682099</v>
      </c>
      <c r="G32" s="2">
        <f>F32</f>
        <v>162312.26852682099</v>
      </c>
      <c r="J32">
        <v>106088</v>
      </c>
      <c r="K32">
        <v>122015.361200485</v>
      </c>
      <c r="L32">
        <v>122015.361200485</v>
      </c>
      <c r="P32" s="2">
        <v>147009.23252808701</v>
      </c>
    </row>
    <row r="33" spans="5:16" x14ac:dyDescent="0.3">
      <c r="E33" s="2">
        <f>F33</f>
        <v>122466.316432829</v>
      </c>
      <c r="F33" s="2">
        <v>122466.316432829</v>
      </c>
      <c r="G33" s="2"/>
      <c r="K33">
        <v>152911.72568437201</v>
      </c>
      <c r="P33" s="2">
        <v>147009.23252808701</v>
      </c>
    </row>
    <row r="34" spans="5:16" x14ac:dyDescent="0.3">
      <c r="F34" s="2">
        <v>162602.561013239</v>
      </c>
      <c r="G34" s="2">
        <f>F34</f>
        <v>162602.561013239</v>
      </c>
      <c r="K34">
        <v>162312.26852682099</v>
      </c>
      <c r="P34" s="2">
        <v>146267.98480932499</v>
      </c>
    </row>
    <row r="35" spans="5:16" x14ac:dyDescent="0.3">
      <c r="E35" s="2">
        <f>F35</f>
        <v>90820.192467957197</v>
      </c>
      <c r="F35" s="2">
        <v>90820.192467957197</v>
      </c>
      <c r="G35" s="2"/>
      <c r="K35">
        <v>78970.163668969893</v>
      </c>
      <c r="P35" s="2">
        <v>146267.98480932499</v>
      </c>
    </row>
    <row r="36" spans="5:16" x14ac:dyDescent="0.3">
      <c r="F36" s="2">
        <v>164640.63650508999</v>
      </c>
      <c r="G36" s="2">
        <f>F36</f>
        <v>164640.63650508999</v>
      </c>
      <c r="K36">
        <v>162602.561013239</v>
      </c>
      <c r="P36" s="2">
        <v>164716.71199694101</v>
      </c>
    </row>
    <row r="37" spans="5:16" x14ac:dyDescent="0.3">
      <c r="E37" s="2">
        <f>F37</f>
        <v>92567.975473390004</v>
      </c>
      <c r="F37" s="2">
        <v>92567.975473390004</v>
      </c>
      <c r="G37" s="2"/>
      <c r="K37">
        <v>162312.26852682099</v>
      </c>
      <c r="P37" s="2">
        <v>122466.316432829</v>
      </c>
    </row>
    <row r="38" spans="5:16" x14ac:dyDescent="0.3">
      <c r="F38" s="2">
        <v>161928.87702410499</v>
      </c>
      <c r="G38" s="2">
        <f>F38</f>
        <v>161928.87702410499</v>
      </c>
      <c r="K38">
        <v>164640.63650508999</v>
      </c>
      <c r="P38" s="2">
        <v>70296.859064296601</v>
      </c>
    </row>
    <row r="39" spans="5:16" x14ac:dyDescent="0.3">
      <c r="E39" s="2">
        <f>F39</f>
        <v>89365.715992404701</v>
      </c>
      <c r="F39" s="2">
        <v>89365.715992404701</v>
      </c>
      <c r="G39" s="2"/>
      <c r="K39">
        <v>162602.561013239</v>
      </c>
      <c r="P39" s="2">
        <v>97044.011116092603</v>
      </c>
    </row>
    <row r="40" spans="5:16" x14ac:dyDescent="0.3">
      <c r="F40" s="2">
        <v>152911.72568437201</v>
      </c>
      <c r="G40" s="2">
        <f>F40</f>
        <v>152911.72568437201</v>
      </c>
      <c r="K40">
        <v>161928.87702410499</v>
      </c>
      <c r="P40" s="2">
        <v>70296.859064296601</v>
      </c>
    </row>
    <row r="41" spans="5:16" x14ac:dyDescent="0.3">
      <c r="E41" s="2">
        <f>F41</f>
        <v>122336.68669233601</v>
      </c>
      <c r="F41" s="2">
        <v>122336.68669233601</v>
      </c>
      <c r="G41" s="2"/>
      <c r="K41">
        <v>164640.63650508999</v>
      </c>
      <c r="P41" s="2">
        <v>164716.71199694101</v>
      </c>
    </row>
    <row r="42" spans="5:16" x14ac:dyDescent="0.3">
      <c r="F42" s="2">
        <v>122015.361200485</v>
      </c>
      <c r="G42" s="2">
        <f>F42</f>
        <v>122015.361200485</v>
      </c>
      <c r="K42">
        <v>78970.163668969893</v>
      </c>
      <c r="P42" s="2">
        <v>119781.19178226699</v>
      </c>
    </row>
    <row r="43" spans="5:16" x14ac:dyDescent="0.3">
      <c r="E43" s="2">
        <f>F43</f>
        <v>143542.21584735499</v>
      </c>
      <c r="F43" s="2">
        <v>143542.21584735499</v>
      </c>
      <c r="G43" s="2"/>
      <c r="K43">
        <v>103696.263753363</v>
      </c>
      <c r="P43" s="2">
        <v>122466.316432829</v>
      </c>
    </row>
    <row r="44" spans="5:16" x14ac:dyDescent="0.3">
      <c r="F44" s="2">
        <v>107493.117688169</v>
      </c>
      <c r="G44" s="2">
        <f>F44</f>
        <v>107493.117688169</v>
      </c>
      <c r="K44">
        <v>107493.117688169</v>
      </c>
      <c r="P44" s="2">
        <v>90820.192467957197</v>
      </c>
    </row>
    <row r="45" spans="5:16" x14ac:dyDescent="0.3">
      <c r="E45" s="2">
        <f>F45</f>
        <v>147009.23252808701</v>
      </c>
      <c r="F45" s="2">
        <v>147009.23252808701</v>
      </c>
      <c r="G45" s="2"/>
      <c r="K45">
        <v>127574.00762171</v>
      </c>
      <c r="P45" s="2">
        <v>90820.192467957197</v>
      </c>
    </row>
    <row r="46" spans="5:16" x14ac:dyDescent="0.3">
      <c r="F46" s="2">
        <v>127574.00762171</v>
      </c>
      <c r="G46" s="2">
        <f>F46</f>
        <v>127574.00762171</v>
      </c>
      <c r="K46">
        <v>107493.117688169</v>
      </c>
      <c r="P46" s="2">
        <v>92567.975473390004</v>
      </c>
    </row>
    <row r="47" spans="5:16" x14ac:dyDescent="0.3">
      <c r="E47" s="2">
        <f>F47</f>
        <v>146267.98480932499</v>
      </c>
      <c r="F47" s="2">
        <v>146267.98480932499</v>
      </c>
      <c r="G47" s="2"/>
      <c r="K47">
        <v>127574.00762171</v>
      </c>
      <c r="P47" s="2">
        <v>92567.975473390004</v>
      </c>
    </row>
    <row r="48" spans="5:16" x14ac:dyDescent="0.3">
      <c r="F48" s="2">
        <v>104415.593037607</v>
      </c>
      <c r="G48" s="2">
        <f>F48</f>
        <v>104415.593037607</v>
      </c>
      <c r="K48">
        <v>104415.593037607</v>
      </c>
      <c r="P48" s="2">
        <v>89365.715992404701</v>
      </c>
    </row>
    <row r="49" spans="5:16" x14ac:dyDescent="0.3">
      <c r="E49" s="2">
        <f>F49</f>
        <v>164716.71199694101</v>
      </c>
      <c r="F49" s="2">
        <v>164716.71199694101</v>
      </c>
      <c r="G49" s="2"/>
      <c r="K49">
        <v>104415.593037607</v>
      </c>
      <c r="P49" s="2">
        <v>89365.715992404701</v>
      </c>
    </row>
    <row r="50" spans="5:16" x14ac:dyDescent="0.3">
      <c r="F50" s="2">
        <v>125409.70709425599</v>
      </c>
      <c r="G50" s="2">
        <f>F50</f>
        <v>125409.70709425599</v>
      </c>
      <c r="K50">
        <v>125409.70709425599</v>
      </c>
      <c r="P50" s="2">
        <v>122336.68669233601</v>
      </c>
    </row>
    <row r="51" spans="5:16" x14ac:dyDescent="0.3">
      <c r="E51" s="2">
        <f>F51</f>
        <v>119781.19178226699</v>
      </c>
      <c r="F51" s="2">
        <v>119781.19178226699</v>
      </c>
      <c r="G51" s="2"/>
      <c r="K51">
        <v>122015.361200485</v>
      </c>
    </row>
    <row r="72" spans="2:2" x14ac:dyDescent="0.3">
      <c r="B72">
        <v>181.8</v>
      </c>
    </row>
    <row r="73" spans="2:2" x14ac:dyDescent="0.3">
      <c r="B73">
        <v>115.4</v>
      </c>
    </row>
    <row r="74" spans="2:2" x14ac:dyDescent="0.3">
      <c r="B74">
        <f>B73/B72</f>
        <v>0.63476347634763475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39"/>
  <sheetViews>
    <sheetView zoomScale="85" zoomScaleNormal="85" workbookViewId="0">
      <selection activeCell="J32" sqref="J32"/>
    </sheetView>
  </sheetViews>
  <sheetFormatPr defaultRowHeight="16.5" x14ac:dyDescent="0.3"/>
  <cols>
    <col min="1" max="1" width="8.625" customWidth="1"/>
    <col min="2" max="2" width="22.75" customWidth="1"/>
    <col min="3" max="3" width="6.625" customWidth="1"/>
    <col min="4" max="4" width="6.625" style="7" customWidth="1"/>
    <col min="5" max="7" width="9.5" customWidth="1"/>
    <col min="8" max="10" width="8.625" customWidth="1"/>
    <col min="11" max="14" width="9.25" customWidth="1"/>
    <col min="15" max="21" width="8.625" customWidth="1"/>
    <col min="22" max="22" width="1.375" customWidth="1"/>
    <col min="23" max="1026" width="8.625" customWidth="1"/>
  </cols>
  <sheetData>
    <row r="2" spans="1:28" x14ac:dyDescent="0.3">
      <c r="G2" s="20"/>
      <c r="H2" s="20"/>
    </row>
    <row r="3" spans="1:28" x14ac:dyDescent="0.3">
      <c r="A3" s="1"/>
      <c r="B3" s="5"/>
      <c r="C3" s="4"/>
      <c r="D3" s="4" t="s">
        <v>287</v>
      </c>
      <c r="E3" s="4" t="s">
        <v>260</v>
      </c>
      <c r="F3" s="4" t="s">
        <v>261</v>
      </c>
      <c r="G3" s="4" t="s">
        <v>262</v>
      </c>
      <c r="H3" s="4"/>
      <c r="I3" s="4"/>
      <c r="J3" s="4"/>
      <c r="K3" s="17"/>
      <c r="L3" s="70" t="s">
        <v>162</v>
      </c>
      <c r="M3" s="70" t="s">
        <v>163</v>
      </c>
      <c r="N3" s="71" t="s">
        <v>162</v>
      </c>
      <c r="O3" s="71" t="s">
        <v>163</v>
      </c>
      <c r="P3" s="72" t="s">
        <v>164</v>
      </c>
      <c r="Q3" s="72" t="s">
        <v>165</v>
      </c>
      <c r="R3" s="73" t="s">
        <v>166</v>
      </c>
      <c r="S3" s="73" t="s">
        <v>167</v>
      </c>
      <c r="T3" s="74" t="s">
        <v>168</v>
      </c>
      <c r="U3" s="74" t="s">
        <v>151</v>
      </c>
      <c r="V3" s="74" t="s">
        <v>169</v>
      </c>
      <c r="W3" s="74" t="s">
        <v>170</v>
      </c>
      <c r="X3" s="74" t="s">
        <v>151</v>
      </c>
      <c r="Y3" s="74" t="s">
        <v>171</v>
      </c>
      <c r="Z3" s="74" t="s">
        <v>172</v>
      </c>
    </row>
    <row r="4" spans="1:28" x14ac:dyDescent="0.3">
      <c r="A4" s="1"/>
      <c r="B4" s="5"/>
      <c r="C4" s="4"/>
      <c r="D4" s="4"/>
      <c r="E4" s="4"/>
      <c r="F4" s="4"/>
      <c r="G4" s="4"/>
      <c r="H4" s="4"/>
      <c r="I4" s="4"/>
      <c r="J4" s="4"/>
      <c r="K4" s="17"/>
      <c r="L4" s="70" t="s">
        <v>173</v>
      </c>
      <c r="M4" s="70" t="s">
        <v>173</v>
      </c>
      <c r="N4" s="71" t="s">
        <v>174</v>
      </c>
      <c r="O4" s="71" t="s">
        <v>174</v>
      </c>
      <c r="P4" s="72" t="s">
        <v>174</v>
      </c>
      <c r="Q4" s="72" t="s">
        <v>174</v>
      </c>
      <c r="R4" s="73" t="s">
        <v>174</v>
      </c>
      <c r="S4" s="73" t="s">
        <v>174</v>
      </c>
      <c r="T4" s="74" t="s">
        <v>175</v>
      </c>
      <c r="U4" s="74" t="s">
        <v>2</v>
      </c>
      <c r="V4" s="75" t="s">
        <v>176</v>
      </c>
      <c r="W4" s="74" t="s">
        <v>177</v>
      </c>
      <c r="X4" s="74" t="s">
        <v>2</v>
      </c>
      <c r="Y4" s="74" t="s">
        <v>141</v>
      </c>
      <c r="Z4" s="74" t="s">
        <v>178</v>
      </c>
    </row>
    <row r="5" spans="1:28" s="7" customFormat="1" x14ac:dyDescent="0.3">
      <c r="A5" s="1"/>
      <c r="B5" s="5" t="s">
        <v>288</v>
      </c>
      <c r="C5" s="4"/>
      <c r="D5" s="4"/>
      <c r="E5" s="4">
        <v>8.7219999999999995</v>
      </c>
      <c r="F5" s="4">
        <v>8.6189999999999998</v>
      </c>
      <c r="G5" s="4">
        <v>8.3510000000000009</v>
      </c>
      <c r="H5" s="4"/>
      <c r="I5" s="4"/>
      <c r="J5" s="4"/>
      <c r="K5" s="17"/>
      <c r="L5" s="70"/>
      <c r="M5" s="70"/>
      <c r="N5" s="71"/>
      <c r="O5" s="71"/>
      <c r="P5" s="72"/>
      <c r="Q5" s="72"/>
      <c r="R5" s="73"/>
      <c r="S5" s="73"/>
      <c r="T5" s="74"/>
      <c r="U5" s="74"/>
      <c r="V5" s="75"/>
      <c r="W5" s="74"/>
      <c r="X5" s="74"/>
      <c r="Y5" s="74"/>
      <c r="Z5" s="74"/>
    </row>
    <row r="6" spans="1:28" s="7" customFormat="1" x14ac:dyDescent="0.3">
      <c r="A6" s="1"/>
      <c r="B6" s="5" t="s">
        <v>290</v>
      </c>
      <c r="C6" s="4"/>
      <c r="D6" s="4"/>
      <c r="E6" s="25">
        <v>2.5</v>
      </c>
      <c r="F6" s="4">
        <v>2.3010000000000002</v>
      </c>
      <c r="G6" s="4">
        <v>1.91</v>
      </c>
      <c r="H6" s="4"/>
      <c r="I6" s="4"/>
      <c r="J6" s="4"/>
      <c r="K6" s="17"/>
      <c r="L6" s="70"/>
      <c r="M6" s="70"/>
      <c r="N6" s="71"/>
      <c r="O6" s="71"/>
      <c r="P6" s="72"/>
      <c r="Q6" s="72"/>
      <c r="R6" s="73"/>
      <c r="S6" s="73"/>
      <c r="T6" s="74"/>
      <c r="U6" s="74"/>
      <c r="V6" s="75"/>
      <c r="W6" s="74"/>
      <c r="X6" s="74"/>
      <c r="Y6" s="74"/>
      <c r="Z6" s="74"/>
    </row>
    <row r="7" spans="1:28" s="7" customFormat="1" x14ac:dyDescent="0.3">
      <c r="A7" s="1"/>
      <c r="B7" s="5" t="s">
        <v>292</v>
      </c>
      <c r="C7" s="4"/>
      <c r="D7" s="4"/>
      <c r="E7" s="25">
        <f>0.39*MainDimension!H4</f>
        <v>11.778</v>
      </c>
      <c r="F7" s="4">
        <f>0.39*MainDimension!H4</f>
        <v>11.778</v>
      </c>
      <c r="G7" s="4">
        <f>0.39*MainDimension!H4</f>
        <v>11.778</v>
      </c>
      <c r="H7" s="4"/>
      <c r="I7" s="4"/>
      <c r="J7" s="4"/>
      <c r="K7" s="17"/>
      <c r="L7" s="70"/>
      <c r="M7" s="70"/>
      <c r="N7" s="71"/>
      <c r="O7" s="71"/>
      <c r="P7" s="72"/>
      <c r="Q7" s="72"/>
      <c r="R7" s="73"/>
      <c r="S7" s="73"/>
      <c r="T7" s="74"/>
      <c r="U7" s="74"/>
      <c r="V7" s="75"/>
      <c r="W7" s="74"/>
      <c r="X7" s="74"/>
      <c r="Y7" s="74"/>
      <c r="Z7" s="74"/>
    </row>
    <row r="8" spans="1:28" s="7" customFormat="1" x14ac:dyDescent="0.3">
      <c r="A8" s="1"/>
      <c r="B8" s="5" t="s">
        <v>289</v>
      </c>
      <c r="C8" s="4"/>
      <c r="D8" s="4"/>
      <c r="E8" s="4">
        <v>12983</v>
      </c>
      <c r="F8" s="4">
        <v>12983</v>
      </c>
      <c r="G8" s="4">
        <v>12983</v>
      </c>
      <c r="H8" s="4"/>
      <c r="I8" s="4"/>
      <c r="J8" s="4"/>
      <c r="K8" s="17"/>
      <c r="L8" s="70"/>
      <c r="M8" s="70"/>
      <c r="N8" s="71"/>
      <c r="O8" s="71"/>
      <c r="P8" s="72"/>
      <c r="Q8" s="72"/>
      <c r="R8" s="73"/>
      <c r="S8" s="73"/>
      <c r="T8" s="74"/>
      <c r="U8" s="74"/>
      <c r="V8" s="75"/>
      <c r="W8" s="74"/>
      <c r="X8" s="74"/>
      <c r="Y8" s="74"/>
      <c r="Z8" s="74"/>
    </row>
    <row r="9" spans="1:28" x14ac:dyDescent="0.3">
      <c r="A9" s="1"/>
      <c r="B9" s="5" t="s">
        <v>263</v>
      </c>
      <c r="C9" s="4"/>
      <c r="D9" s="4"/>
      <c r="E9" s="121">
        <v>0</v>
      </c>
      <c r="F9" s="121">
        <v>0</v>
      </c>
      <c r="G9" s="121">
        <v>0</v>
      </c>
      <c r="H9" s="4"/>
      <c r="I9" s="4"/>
      <c r="J9" s="121"/>
      <c r="K9" s="76"/>
      <c r="L9" s="77"/>
      <c r="M9" s="77"/>
      <c r="N9" s="78">
        <f>VLOOKUP(L9,위치정보!$A$2:$B$236,2,0)</f>
        <v>0</v>
      </c>
      <c r="O9" s="79">
        <f>VLOOKUP(M9,위치정보!$A$2:$B$236,2,)</f>
        <v>0</v>
      </c>
      <c r="P9" s="80"/>
      <c r="Q9" s="80"/>
      <c r="R9" s="81"/>
      <c r="S9" s="81"/>
      <c r="T9" s="82"/>
      <c r="U9" s="82"/>
      <c r="V9" s="82"/>
      <c r="W9" s="82"/>
      <c r="X9" s="82"/>
      <c r="Y9" s="82"/>
      <c r="Z9" s="82"/>
      <c r="AB9" s="2"/>
    </row>
    <row r="10" spans="1:28" s="7" customFormat="1" x14ac:dyDescent="0.3">
      <c r="A10" s="1"/>
      <c r="B10" s="5" t="s">
        <v>264</v>
      </c>
      <c r="C10" s="4"/>
      <c r="D10" s="4"/>
      <c r="E10" s="121">
        <v>235</v>
      </c>
      <c r="F10" s="121">
        <v>235</v>
      </c>
      <c r="G10" s="121">
        <v>235</v>
      </c>
      <c r="H10" s="4"/>
      <c r="I10" s="4"/>
      <c r="J10" s="121"/>
      <c r="K10" s="76"/>
      <c r="L10" s="77"/>
      <c r="M10" s="77"/>
      <c r="N10" s="78"/>
      <c r="O10" s="79"/>
      <c r="P10" s="84"/>
      <c r="Q10" s="84"/>
      <c r="R10" s="85"/>
      <c r="S10" s="85"/>
      <c r="T10" s="91"/>
      <c r="U10" s="91"/>
      <c r="V10" s="91"/>
      <c r="W10" s="91"/>
      <c r="X10" s="91"/>
      <c r="Y10" s="91"/>
      <c r="Z10" s="91"/>
      <c r="AB10" s="2"/>
    </row>
    <row r="11" spans="1:28" s="7" customFormat="1" x14ac:dyDescent="0.3">
      <c r="A11" s="1"/>
      <c r="B11" s="5" t="s">
        <v>266</v>
      </c>
      <c r="C11" s="4"/>
      <c r="D11" s="4"/>
      <c r="E11" s="121">
        <v>1372.5</v>
      </c>
      <c r="F11" s="121">
        <v>1372.5</v>
      </c>
      <c r="G11" s="121">
        <v>1372.5</v>
      </c>
      <c r="H11" s="4"/>
      <c r="I11" s="4"/>
      <c r="J11" s="121"/>
      <c r="K11" s="76"/>
      <c r="L11" s="77"/>
      <c r="M11" s="77"/>
      <c r="N11" s="78"/>
      <c r="O11" s="79"/>
      <c r="P11" s="84"/>
      <c r="Q11" s="84"/>
      <c r="R11" s="85"/>
      <c r="S11" s="85"/>
      <c r="T11" s="91"/>
      <c r="U11" s="91"/>
      <c r="V11" s="91"/>
      <c r="W11" s="91"/>
      <c r="X11" s="91"/>
      <c r="Y11" s="91"/>
      <c r="Z11" s="91"/>
      <c r="AB11" s="2"/>
    </row>
    <row r="12" spans="1:28" s="7" customFormat="1" x14ac:dyDescent="0.3">
      <c r="A12" s="1"/>
      <c r="B12" s="5" t="s">
        <v>265</v>
      </c>
      <c r="C12" s="4"/>
      <c r="D12" s="4"/>
      <c r="E12" s="121">
        <v>5880</v>
      </c>
      <c r="F12" s="121">
        <v>5880</v>
      </c>
      <c r="G12" s="121">
        <v>5880</v>
      </c>
      <c r="H12" s="4"/>
      <c r="I12" s="4"/>
      <c r="J12" s="121"/>
      <c r="K12" s="76"/>
      <c r="L12" s="77"/>
      <c r="M12" s="77"/>
      <c r="N12" s="78"/>
      <c r="O12" s="79"/>
      <c r="P12" s="84"/>
      <c r="Q12" s="84"/>
      <c r="R12" s="85"/>
      <c r="S12" s="85"/>
      <c r="T12" s="91"/>
      <c r="U12" s="91"/>
      <c r="V12" s="91"/>
      <c r="W12" s="91"/>
      <c r="X12" s="91"/>
      <c r="Y12" s="91"/>
      <c r="Z12" s="91"/>
      <c r="AB12" s="2"/>
    </row>
    <row r="13" spans="1:28" s="7" customFormat="1" x14ac:dyDescent="0.3">
      <c r="A13" s="1"/>
      <c r="B13" s="5" t="s">
        <v>267</v>
      </c>
      <c r="C13" s="4" t="s">
        <v>268</v>
      </c>
      <c r="D13" s="4">
        <v>1.0249999999999999</v>
      </c>
      <c r="E13" s="121">
        <v>0</v>
      </c>
      <c r="F13" s="121">
        <v>0</v>
      </c>
      <c r="G13" s="121">
        <v>0</v>
      </c>
      <c r="H13" s="4"/>
      <c r="I13" s="4"/>
      <c r="J13" s="121"/>
      <c r="K13" s="76"/>
      <c r="L13" s="77"/>
      <c r="M13" s="77"/>
      <c r="N13" s="78"/>
      <c r="O13" s="79"/>
      <c r="P13" s="84"/>
      <c r="Q13" s="84"/>
      <c r="R13" s="85"/>
      <c r="S13" s="85"/>
      <c r="T13" s="91"/>
      <c r="U13" s="91"/>
      <c r="V13" s="91"/>
      <c r="W13" s="91"/>
      <c r="X13" s="91"/>
      <c r="Y13" s="91"/>
      <c r="Z13" s="91"/>
      <c r="AB13" s="2"/>
    </row>
    <row r="14" spans="1:28" s="7" customFormat="1" x14ac:dyDescent="0.3">
      <c r="A14" s="1"/>
      <c r="B14" s="5" t="s">
        <v>269</v>
      </c>
      <c r="C14" s="4" t="s">
        <v>180</v>
      </c>
      <c r="D14" s="4">
        <v>1.0249999999999999</v>
      </c>
      <c r="E14" s="121">
        <v>132</v>
      </c>
      <c r="F14" s="121">
        <v>132</v>
      </c>
      <c r="G14" s="121">
        <v>132</v>
      </c>
      <c r="H14" s="4"/>
      <c r="I14" s="4"/>
      <c r="J14" s="121"/>
      <c r="K14" s="76"/>
      <c r="L14" s="77"/>
      <c r="M14" s="77"/>
      <c r="N14" s="78"/>
      <c r="O14" s="79"/>
      <c r="P14" s="84"/>
      <c r="Q14" s="84"/>
      <c r="R14" s="85"/>
      <c r="S14" s="85"/>
      <c r="T14" s="91"/>
      <c r="U14" s="91"/>
      <c r="V14" s="91"/>
      <c r="W14" s="91"/>
      <c r="X14" s="91"/>
      <c r="Y14" s="91"/>
      <c r="Z14" s="91"/>
      <c r="AB14" s="2"/>
    </row>
    <row r="15" spans="1:28" s="7" customFormat="1" x14ac:dyDescent="0.3">
      <c r="A15" s="1"/>
      <c r="B15" s="5" t="s">
        <v>270</v>
      </c>
      <c r="C15" s="4" t="s">
        <v>180</v>
      </c>
      <c r="D15" s="4">
        <v>1.0249999999999999</v>
      </c>
      <c r="E15" s="121">
        <v>0</v>
      </c>
      <c r="F15" s="121">
        <v>0</v>
      </c>
      <c r="G15" s="121">
        <v>0</v>
      </c>
      <c r="H15" s="4"/>
      <c r="I15" s="4"/>
      <c r="J15" s="121"/>
      <c r="K15" s="76"/>
      <c r="L15" s="77"/>
      <c r="M15" s="77"/>
      <c r="N15" s="78"/>
      <c r="O15" s="79"/>
      <c r="P15" s="84"/>
      <c r="Q15" s="84"/>
      <c r="R15" s="85"/>
      <c r="S15" s="85"/>
      <c r="T15" s="91"/>
      <c r="U15" s="91"/>
      <c r="V15" s="91"/>
      <c r="W15" s="91"/>
      <c r="X15" s="91"/>
      <c r="Y15" s="91"/>
      <c r="Z15" s="91"/>
      <c r="AB15" s="2"/>
    </row>
    <row r="16" spans="1:28" s="7" customFormat="1" x14ac:dyDescent="0.3">
      <c r="A16" s="1"/>
      <c r="B16" s="5" t="s">
        <v>271</v>
      </c>
      <c r="C16" s="4" t="s">
        <v>180</v>
      </c>
      <c r="D16" s="4">
        <v>1.0249999999999999</v>
      </c>
      <c r="E16" s="121">
        <v>0</v>
      </c>
      <c r="F16" s="121">
        <v>656</v>
      </c>
      <c r="G16" s="121">
        <v>656</v>
      </c>
      <c r="H16" s="4"/>
      <c r="I16" s="4"/>
      <c r="J16" s="121"/>
      <c r="K16" s="76"/>
      <c r="L16" s="77"/>
      <c r="M16" s="77"/>
      <c r="N16" s="78"/>
      <c r="O16" s="79"/>
      <c r="P16" s="84"/>
      <c r="Q16" s="84"/>
      <c r="R16" s="85"/>
      <c r="S16" s="85"/>
      <c r="T16" s="91"/>
      <c r="U16" s="91"/>
      <c r="V16" s="91"/>
      <c r="W16" s="91"/>
      <c r="X16" s="91"/>
      <c r="Y16" s="91"/>
      <c r="Z16" s="91"/>
      <c r="AB16" s="2"/>
    </row>
    <row r="17" spans="1:29" s="7" customFormat="1" x14ac:dyDescent="0.3">
      <c r="A17" s="1"/>
      <c r="B17" s="5" t="s">
        <v>272</v>
      </c>
      <c r="C17" s="4" t="s">
        <v>273</v>
      </c>
      <c r="D17" s="4">
        <v>1.0249999999999999</v>
      </c>
      <c r="E17" s="121">
        <v>0</v>
      </c>
      <c r="F17" s="121">
        <v>0</v>
      </c>
      <c r="G17" s="121">
        <v>0</v>
      </c>
      <c r="H17" s="4"/>
      <c r="I17" s="4"/>
      <c r="J17" s="121"/>
      <c r="K17" s="76"/>
      <c r="L17" s="77"/>
      <c r="M17" s="77"/>
      <c r="N17" s="78"/>
      <c r="O17" s="79"/>
      <c r="P17" s="84"/>
      <c r="Q17" s="84"/>
      <c r="R17" s="85"/>
      <c r="S17" s="85"/>
      <c r="T17" s="91"/>
      <c r="U17" s="91"/>
      <c r="V17" s="91"/>
      <c r="W17" s="91"/>
      <c r="X17" s="91"/>
      <c r="Y17" s="91"/>
      <c r="Z17" s="91"/>
      <c r="AB17" s="2"/>
    </row>
    <row r="18" spans="1:29" s="7" customFormat="1" x14ac:dyDescent="0.3">
      <c r="A18" s="1"/>
      <c r="B18" s="5" t="s">
        <v>272</v>
      </c>
      <c r="C18" s="4" t="s">
        <v>274</v>
      </c>
      <c r="D18" s="4">
        <v>1.0249999999999999</v>
      </c>
      <c r="E18" s="121">
        <v>0</v>
      </c>
      <c r="F18" s="121">
        <v>0</v>
      </c>
      <c r="G18" s="121">
        <v>0</v>
      </c>
      <c r="H18" s="4"/>
      <c r="I18" s="4"/>
      <c r="J18" s="121"/>
      <c r="K18" s="76"/>
      <c r="L18" s="77"/>
      <c r="M18" s="77"/>
      <c r="N18" s="78"/>
      <c r="O18" s="79"/>
      <c r="P18" s="84"/>
      <c r="Q18" s="84"/>
      <c r="R18" s="85"/>
      <c r="S18" s="85"/>
      <c r="T18" s="91"/>
      <c r="U18" s="91"/>
      <c r="V18" s="91"/>
      <c r="W18" s="91"/>
      <c r="X18" s="91"/>
      <c r="Y18" s="91"/>
      <c r="Z18" s="91"/>
      <c r="AB18" s="2"/>
    </row>
    <row r="19" spans="1:29" s="7" customFormat="1" x14ac:dyDescent="0.3">
      <c r="A19" s="1"/>
      <c r="B19" s="5" t="s">
        <v>275</v>
      </c>
      <c r="C19" s="4" t="s">
        <v>273</v>
      </c>
      <c r="D19" s="4">
        <v>1.0249999999999999</v>
      </c>
      <c r="E19" s="121">
        <v>211</v>
      </c>
      <c r="F19" s="121">
        <v>193</v>
      </c>
      <c r="G19" s="121">
        <v>193</v>
      </c>
      <c r="H19" s="4"/>
      <c r="I19" s="4"/>
      <c r="J19" s="121"/>
      <c r="K19" s="76"/>
      <c r="L19" s="77"/>
      <c r="M19" s="77"/>
      <c r="N19" s="78"/>
      <c r="O19" s="79"/>
      <c r="P19" s="84"/>
      <c r="Q19" s="84"/>
      <c r="R19" s="85"/>
      <c r="S19" s="85"/>
      <c r="T19" s="91"/>
      <c r="U19" s="91"/>
      <c r="V19" s="91"/>
      <c r="W19" s="91"/>
      <c r="X19" s="91"/>
      <c r="Y19" s="91"/>
      <c r="Z19" s="91"/>
      <c r="AB19" s="2"/>
    </row>
    <row r="20" spans="1:29" s="7" customFormat="1" x14ac:dyDescent="0.3">
      <c r="A20" s="1"/>
      <c r="B20" s="5" t="s">
        <v>275</v>
      </c>
      <c r="C20" s="4" t="s">
        <v>274</v>
      </c>
      <c r="D20" s="4">
        <v>1.0249999999999999</v>
      </c>
      <c r="E20" s="121">
        <v>212</v>
      </c>
      <c r="F20" s="121">
        <v>191</v>
      </c>
      <c r="G20" s="121">
        <v>191</v>
      </c>
      <c r="H20" s="4"/>
      <c r="I20" s="4"/>
      <c r="J20" s="121"/>
      <c r="K20" s="76"/>
      <c r="L20" s="77"/>
      <c r="M20" s="77"/>
      <c r="N20" s="78"/>
      <c r="O20" s="79"/>
      <c r="P20" s="84"/>
      <c r="Q20" s="84"/>
      <c r="R20" s="85"/>
      <c r="S20" s="85"/>
      <c r="T20" s="91"/>
      <c r="U20" s="91"/>
      <c r="V20" s="91"/>
      <c r="W20" s="91"/>
      <c r="X20" s="91"/>
      <c r="Y20" s="91"/>
      <c r="Z20" s="91"/>
      <c r="AB20" s="2"/>
    </row>
    <row r="21" spans="1:29" s="7" customFormat="1" x14ac:dyDescent="0.3">
      <c r="A21" s="1"/>
      <c r="B21" s="5" t="s">
        <v>276</v>
      </c>
      <c r="C21" s="4" t="s">
        <v>273</v>
      </c>
      <c r="D21" s="4">
        <v>1.0249999999999999</v>
      </c>
      <c r="E21" s="121">
        <v>0</v>
      </c>
      <c r="F21" s="121">
        <v>0</v>
      </c>
      <c r="G21" s="121">
        <v>0</v>
      </c>
      <c r="H21" s="4"/>
      <c r="I21" s="4"/>
      <c r="J21" s="121"/>
      <c r="K21" s="76"/>
      <c r="L21" s="77"/>
      <c r="M21" s="77"/>
      <c r="N21" s="78"/>
      <c r="O21" s="79"/>
      <c r="P21" s="84"/>
      <c r="Q21" s="84"/>
      <c r="R21" s="85"/>
      <c r="S21" s="85"/>
      <c r="T21" s="91"/>
      <c r="U21" s="91"/>
      <c r="V21" s="91"/>
      <c r="W21" s="91"/>
      <c r="X21" s="91"/>
      <c r="Y21" s="91"/>
      <c r="Z21" s="91"/>
      <c r="AB21" s="2"/>
    </row>
    <row r="22" spans="1:29" s="7" customFormat="1" x14ac:dyDescent="0.3">
      <c r="A22" s="1"/>
      <c r="B22" s="5" t="s">
        <v>276</v>
      </c>
      <c r="C22" s="4" t="s">
        <v>274</v>
      </c>
      <c r="D22" s="4">
        <v>1.0249999999999999</v>
      </c>
      <c r="E22" s="121">
        <v>0</v>
      </c>
      <c r="F22" s="121">
        <v>0</v>
      </c>
      <c r="G22" s="121">
        <v>0</v>
      </c>
      <c r="H22" s="4"/>
      <c r="I22" s="4"/>
      <c r="J22" s="121"/>
      <c r="K22" s="76"/>
      <c r="L22" s="77"/>
      <c r="M22" s="77"/>
      <c r="N22" s="78"/>
      <c r="O22" s="79"/>
      <c r="P22" s="84"/>
      <c r="Q22" s="84"/>
      <c r="R22" s="85"/>
      <c r="S22" s="85"/>
      <c r="T22" s="91"/>
      <c r="U22" s="91"/>
      <c r="V22" s="91"/>
      <c r="W22" s="91"/>
      <c r="X22" s="91"/>
      <c r="Y22" s="91"/>
      <c r="Z22" s="91"/>
      <c r="AB22" s="2"/>
    </row>
    <row r="23" spans="1:29" s="7" customFormat="1" x14ac:dyDescent="0.3">
      <c r="A23" s="1"/>
      <c r="B23" s="5" t="s">
        <v>277</v>
      </c>
      <c r="C23" s="4" t="s">
        <v>273</v>
      </c>
      <c r="D23" s="4">
        <v>1.0249999999999999</v>
      </c>
      <c r="E23" s="121">
        <v>0</v>
      </c>
      <c r="F23" s="121">
        <v>0</v>
      </c>
      <c r="G23" s="121">
        <v>0</v>
      </c>
      <c r="H23" s="4"/>
      <c r="I23" s="4"/>
      <c r="J23" s="121"/>
      <c r="K23" s="76"/>
      <c r="L23" s="77"/>
      <c r="M23" s="77"/>
      <c r="N23" s="78"/>
      <c r="O23" s="79"/>
      <c r="P23" s="84"/>
      <c r="Q23" s="84"/>
      <c r="R23" s="85"/>
      <c r="S23" s="85"/>
      <c r="T23" s="91"/>
      <c r="U23" s="91"/>
      <c r="V23" s="91"/>
      <c r="W23" s="91"/>
      <c r="X23" s="91"/>
      <c r="Y23" s="91"/>
      <c r="Z23" s="91"/>
      <c r="AB23" s="2"/>
    </row>
    <row r="24" spans="1:29" s="7" customFormat="1" x14ac:dyDescent="0.3">
      <c r="A24" s="1"/>
      <c r="B24" s="5" t="s">
        <v>277</v>
      </c>
      <c r="C24" s="4" t="s">
        <v>274</v>
      </c>
      <c r="D24" s="4">
        <v>1.0249999999999999</v>
      </c>
      <c r="E24" s="121">
        <v>0</v>
      </c>
      <c r="F24" s="121">
        <v>0</v>
      </c>
      <c r="G24" s="121">
        <v>0</v>
      </c>
      <c r="H24" s="4"/>
      <c r="I24" s="4"/>
      <c r="J24" s="121"/>
      <c r="K24" s="76"/>
      <c r="L24" s="77"/>
      <c r="M24" s="77"/>
      <c r="N24" s="78"/>
      <c r="O24" s="79"/>
      <c r="P24" s="84"/>
      <c r="Q24" s="84"/>
      <c r="R24" s="85"/>
      <c r="S24" s="85"/>
      <c r="T24" s="91"/>
      <c r="U24" s="91"/>
      <c r="V24" s="91"/>
      <c r="W24" s="91"/>
      <c r="X24" s="91"/>
      <c r="Y24" s="91"/>
      <c r="Z24" s="91"/>
      <c r="AB24" s="2"/>
    </row>
    <row r="25" spans="1:29" s="7" customFormat="1" x14ac:dyDescent="0.3">
      <c r="A25" s="1"/>
      <c r="B25" s="5" t="s">
        <v>278</v>
      </c>
      <c r="C25" s="4" t="s">
        <v>273</v>
      </c>
      <c r="D25" s="4">
        <v>1.0249999999999999</v>
      </c>
      <c r="E25" s="121">
        <v>386</v>
      </c>
      <c r="F25" s="121">
        <v>386</v>
      </c>
      <c r="G25" s="121">
        <v>386</v>
      </c>
      <c r="H25" s="4"/>
      <c r="I25" s="4"/>
      <c r="J25" s="121"/>
      <c r="K25" s="76"/>
      <c r="L25" s="77"/>
      <c r="M25" s="77"/>
      <c r="N25" s="78"/>
      <c r="O25" s="79"/>
      <c r="P25" s="84"/>
      <c r="Q25" s="84"/>
      <c r="R25" s="85"/>
      <c r="S25" s="85"/>
      <c r="T25" s="91"/>
      <c r="U25" s="91"/>
      <c r="V25" s="91"/>
      <c r="W25" s="91"/>
      <c r="X25" s="91"/>
      <c r="Y25" s="91"/>
      <c r="Z25" s="91"/>
      <c r="AB25" s="2"/>
    </row>
    <row r="26" spans="1:29" s="7" customFormat="1" x14ac:dyDescent="0.3">
      <c r="A26" s="1"/>
      <c r="B26" s="5" t="s">
        <v>278</v>
      </c>
      <c r="C26" s="4" t="s">
        <v>274</v>
      </c>
      <c r="D26" s="4">
        <v>1.0249999999999999</v>
      </c>
      <c r="E26" s="121">
        <v>386</v>
      </c>
      <c r="F26" s="121">
        <v>386</v>
      </c>
      <c r="G26" s="121">
        <v>386</v>
      </c>
      <c r="H26" s="4"/>
      <c r="I26" s="4"/>
      <c r="J26" s="121"/>
      <c r="K26" s="76"/>
      <c r="L26" s="77"/>
      <c r="M26" s="77"/>
      <c r="N26" s="78"/>
      <c r="O26" s="79"/>
      <c r="P26" s="84"/>
      <c r="Q26" s="84"/>
      <c r="R26" s="85"/>
      <c r="S26" s="85"/>
      <c r="T26" s="91"/>
      <c r="U26" s="91"/>
      <c r="V26" s="91"/>
      <c r="W26" s="91"/>
      <c r="X26" s="91"/>
      <c r="Y26" s="91"/>
      <c r="Z26" s="91"/>
      <c r="AB26" s="2"/>
    </row>
    <row r="27" spans="1:29" s="7" customFormat="1" x14ac:dyDescent="0.3">
      <c r="A27" s="1"/>
      <c r="B27" s="5" t="s">
        <v>279</v>
      </c>
      <c r="C27" s="4" t="s">
        <v>268</v>
      </c>
      <c r="D27" s="4">
        <v>1.0249999999999999</v>
      </c>
      <c r="E27" s="121">
        <v>1417</v>
      </c>
      <c r="F27" s="121">
        <v>1417</v>
      </c>
      <c r="G27" s="121">
        <v>1417</v>
      </c>
      <c r="H27" s="4"/>
      <c r="I27" s="4"/>
      <c r="J27" s="121"/>
      <c r="K27" s="76"/>
      <c r="L27" s="77"/>
      <c r="M27" s="77"/>
      <c r="N27" s="78"/>
      <c r="O27" s="79"/>
      <c r="P27" s="84"/>
      <c r="Q27" s="84"/>
      <c r="R27" s="85"/>
      <c r="S27" s="85"/>
      <c r="T27" s="91"/>
      <c r="U27" s="91"/>
      <c r="V27" s="91"/>
      <c r="W27" s="91"/>
      <c r="X27" s="91"/>
      <c r="Y27" s="91"/>
      <c r="Z27" s="91"/>
      <c r="AB27" s="2"/>
    </row>
    <row r="28" spans="1:29" s="7" customFormat="1" x14ac:dyDescent="0.3">
      <c r="A28" s="1"/>
      <c r="B28" s="5" t="s">
        <v>280</v>
      </c>
      <c r="C28" s="4" t="s">
        <v>273</v>
      </c>
      <c r="D28" s="4">
        <v>1.0249999999999999</v>
      </c>
      <c r="E28" s="121">
        <v>0</v>
      </c>
      <c r="F28" s="121">
        <v>0</v>
      </c>
      <c r="G28" s="121">
        <v>0</v>
      </c>
      <c r="H28" s="4"/>
      <c r="I28" s="4"/>
      <c r="J28" s="121"/>
      <c r="K28" s="76"/>
      <c r="L28" s="77"/>
      <c r="M28" s="77"/>
      <c r="N28" s="78"/>
      <c r="O28" s="79"/>
      <c r="P28" s="84"/>
      <c r="Q28" s="84"/>
      <c r="R28" s="85"/>
      <c r="S28" s="85"/>
      <c r="T28" s="91"/>
      <c r="U28" s="91"/>
      <c r="V28" s="91"/>
      <c r="W28" s="91"/>
      <c r="X28" s="91"/>
      <c r="Y28" s="91"/>
      <c r="Z28" s="91"/>
      <c r="AB28" s="2"/>
    </row>
    <row r="29" spans="1:29" s="7" customFormat="1" x14ac:dyDescent="0.3">
      <c r="A29" s="1"/>
      <c r="B29" s="5" t="s">
        <v>280</v>
      </c>
      <c r="C29" s="4" t="s">
        <v>274</v>
      </c>
      <c r="D29" s="4">
        <v>1.0249999999999999</v>
      </c>
      <c r="E29" s="121">
        <v>0</v>
      </c>
      <c r="F29" s="121">
        <v>0</v>
      </c>
      <c r="G29" s="121">
        <v>0</v>
      </c>
      <c r="H29" s="4"/>
      <c r="I29" s="4"/>
      <c r="J29" s="121"/>
      <c r="K29" s="76"/>
      <c r="L29" s="77"/>
      <c r="M29" s="77"/>
      <c r="N29" s="78"/>
      <c r="O29" s="79"/>
      <c r="P29" s="84"/>
      <c r="Q29" s="84"/>
      <c r="R29" s="85"/>
      <c r="S29" s="85"/>
      <c r="T29" s="91"/>
      <c r="U29" s="91"/>
      <c r="V29" s="91"/>
      <c r="W29" s="91"/>
      <c r="X29" s="91"/>
      <c r="Y29" s="91"/>
      <c r="Z29" s="91"/>
      <c r="AB29" s="2"/>
    </row>
    <row r="30" spans="1:29" x14ac:dyDescent="0.3">
      <c r="A30" s="1"/>
      <c r="B30" s="5" t="s">
        <v>282</v>
      </c>
      <c r="C30" s="4" t="s">
        <v>5</v>
      </c>
      <c r="D30" s="25">
        <v>1</v>
      </c>
      <c r="E30" s="4">
        <v>75</v>
      </c>
      <c r="F30" s="4">
        <v>41</v>
      </c>
      <c r="G30" s="4">
        <v>8</v>
      </c>
      <c r="H30" s="4"/>
      <c r="I30" s="4"/>
      <c r="J30" s="5"/>
      <c r="K30" s="8"/>
      <c r="L30" s="83">
        <v>57</v>
      </c>
      <c r="M30" s="83">
        <v>73</v>
      </c>
      <c r="N30" s="78">
        <f>VLOOKUP(L30,위치정보!$A$2:$B$236,2,0)</f>
        <v>44940</v>
      </c>
      <c r="O30" s="78">
        <f>VLOOKUP(M30,위치정보!$A$2:$B$236,2,)</f>
        <v>58060</v>
      </c>
      <c r="P30" s="84">
        <v>0</v>
      </c>
      <c r="Q30" s="84">
        <v>30200</v>
      </c>
      <c r="R30" s="85">
        <v>4920</v>
      </c>
      <c r="S30" s="85">
        <v>7810</v>
      </c>
      <c r="T30" s="82">
        <v>151.97999999999999</v>
      </c>
      <c r="U30" s="86">
        <f t="shared" ref="U30:U38" si="0">T30*V30</f>
        <v>151.97999999999999</v>
      </c>
      <c r="V30" s="82">
        <v>1</v>
      </c>
      <c r="W30" s="87">
        <v>0.49</v>
      </c>
      <c r="X30" s="9">
        <f t="shared" ref="X30:X38" si="1">U30*W30</f>
        <v>74.470199999999991</v>
      </c>
      <c r="Y30" s="88">
        <f t="shared" ref="Y30:Y38" si="2">(S30-R30)/1000</f>
        <v>2.89</v>
      </c>
      <c r="Z30" s="89">
        <f t="shared" ref="Z30:Z38" si="3">Y30*V30*9.81/1000</f>
        <v>2.8350900000000002E-2</v>
      </c>
      <c r="AB30" s="2">
        <v>75.867288481141699</v>
      </c>
      <c r="AC30">
        <v>1</v>
      </c>
    </row>
    <row r="31" spans="1:29" x14ac:dyDescent="0.3">
      <c r="A31" s="1"/>
      <c r="B31" s="5" t="s">
        <v>282</v>
      </c>
      <c r="C31" s="4" t="s">
        <v>179</v>
      </c>
      <c r="D31" s="25">
        <v>1</v>
      </c>
      <c r="E31" s="4">
        <v>75</v>
      </c>
      <c r="F31" s="4">
        <v>41</v>
      </c>
      <c r="G31" s="4">
        <v>8</v>
      </c>
      <c r="H31" s="4"/>
      <c r="I31" s="4"/>
      <c r="J31" s="5"/>
      <c r="K31" s="8"/>
      <c r="L31" s="83">
        <v>61</v>
      </c>
      <c r="M31" s="83">
        <v>73</v>
      </c>
      <c r="N31" s="78">
        <f>VLOOKUP(L31,위치정보!$A$2:$B$236,2,0)</f>
        <v>48220</v>
      </c>
      <c r="O31" s="78">
        <f>VLOOKUP(M31,위치정보!$A$2:$B$236,2,)</f>
        <v>58060</v>
      </c>
      <c r="P31" s="84">
        <v>0</v>
      </c>
      <c r="Q31" s="84">
        <v>-30200</v>
      </c>
      <c r="R31" s="85">
        <v>4920</v>
      </c>
      <c r="S31" s="85">
        <v>7810</v>
      </c>
      <c r="T31" s="82">
        <v>108.27</v>
      </c>
      <c r="U31" s="86">
        <f t="shared" si="0"/>
        <v>108.27</v>
      </c>
      <c r="V31" s="82">
        <v>1</v>
      </c>
      <c r="W31" s="87">
        <v>0.69</v>
      </c>
      <c r="X31" s="9">
        <f t="shared" si="1"/>
        <v>74.706299999999985</v>
      </c>
      <c r="Y31" s="88">
        <f t="shared" si="2"/>
        <v>2.89</v>
      </c>
      <c r="Z31" s="89">
        <f t="shared" si="3"/>
        <v>2.8350900000000002E-2</v>
      </c>
      <c r="AB31" s="2">
        <v>76.154658511722701</v>
      </c>
      <c r="AC31" s="7">
        <v>2</v>
      </c>
    </row>
    <row r="32" spans="1:29" x14ac:dyDescent="0.3">
      <c r="A32" s="1"/>
      <c r="B32" s="5" t="s">
        <v>281</v>
      </c>
      <c r="C32" s="4" t="s">
        <v>5</v>
      </c>
      <c r="D32" s="25">
        <v>1</v>
      </c>
      <c r="E32" s="4">
        <v>101</v>
      </c>
      <c r="F32" s="4">
        <v>56</v>
      </c>
      <c r="G32" s="4">
        <v>10</v>
      </c>
      <c r="H32" s="4"/>
      <c r="I32" s="4"/>
      <c r="J32" s="5"/>
      <c r="K32" s="90">
        <f>SUM(J30:J32)</f>
        <v>0</v>
      </c>
      <c r="L32" s="83">
        <v>4</v>
      </c>
      <c r="M32" s="83">
        <v>11</v>
      </c>
      <c r="N32" s="78">
        <f>VLOOKUP(L32,위치정보!$A$2:$B$236,2,0)</f>
        <v>2800</v>
      </c>
      <c r="O32" s="78">
        <f>VLOOKUP(M32,위치정보!$A$2:$B$236,2,)</f>
        <v>7700</v>
      </c>
      <c r="P32" s="84">
        <f>600*6</f>
        <v>3600</v>
      </c>
      <c r="Q32" s="84">
        <f>3600+600*12</f>
        <v>10800</v>
      </c>
      <c r="R32" s="85">
        <v>10750</v>
      </c>
      <c r="S32" s="85">
        <v>14400</v>
      </c>
      <c r="T32" s="82">
        <v>101.09</v>
      </c>
      <c r="U32" s="86">
        <f t="shared" si="0"/>
        <v>101.09</v>
      </c>
      <c r="V32" s="82">
        <v>1</v>
      </c>
      <c r="W32" s="87">
        <v>1</v>
      </c>
      <c r="X32" s="9">
        <f t="shared" si="1"/>
        <v>101.09</v>
      </c>
      <c r="Y32" s="88">
        <f t="shared" si="2"/>
        <v>3.65</v>
      </c>
      <c r="Z32" s="89">
        <f t="shared" si="3"/>
        <v>3.5806499999999998E-2</v>
      </c>
      <c r="AB32" s="2"/>
      <c r="AC32" s="7">
        <v>3</v>
      </c>
    </row>
    <row r="33" spans="1:33" x14ac:dyDescent="0.3">
      <c r="A33" s="1"/>
      <c r="B33" s="5" t="s">
        <v>283</v>
      </c>
      <c r="C33" s="4" t="s">
        <v>5</v>
      </c>
      <c r="D33" s="4">
        <v>0.98</v>
      </c>
      <c r="E33" s="4">
        <v>586</v>
      </c>
      <c r="F33" s="4">
        <v>400</v>
      </c>
      <c r="G33" s="4">
        <v>12983</v>
      </c>
      <c r="H33" s="4"/>
      <c r="I33" s="4"/>
      <c r="J33" s="5"/>
      <c r="K33" s="8"/>
      <c r="L33" s="83">
        <v>145</v>
      </c>
      <c r="M33" s="83">
        <v>173</v>
      </c>
      <c r="N33" s="78">
        <f>VLOOKUP(L33,위치정보!$A$2:$B$236,2,0)</f>
        <v>117100</v>
      </c>
      <c r="O33" s="78">
        <f>VLOOKUP(M33,위치정보!$A$2:$B$236,2,)</f>
        <v>140060</v>
      </c>
      <c r="P33" s="84">
        <v>0</v>
      </c>
      <c r="Q33" s="84">
        <v>30200</v>
      </c>
      <c r="R33" s="85">
        <v>2100</v>
      </c>
      <c r="S33" s="85">
        <v>7810</v>
      </c>
      <c r="T33" s="91">
        <v>664.24</v>
      </c>
      <c r="U33" s="86">
        <f t="shared" si="0"/>
        <v>650.95519999999999</v>
      </c>
      <c r="V33" s="82">
        <v>0.98</v>
      </c>
      <c r="W33" s="87">
        <v>0.9</v>
      </c>
      <c r="X33" s="9">
        <f t="shared" si="1"/>
        <v>585.85968000000003</v>
      </c>
      <c r="Y33" s="88">
        <f t="shared" si="2"/>
        <v>5.71</v>
      </c>
      <c r="Z33" s="89">
        <f t="shared" si="3"/>
        <v>5.4894798000000002E-2</v>
      </c>
      <c r="AB33" s="2">
        <v>584.99327217125403</v>
      </c>
      <c r="AC33" s="7">
        <v>4</v>
      </c>
    </row>
    <row r="34" spans="1:33" x14ac:dyDescent="0.3">
      <c r="A34" s="1"/>
      <c r="B34" s="5" t="s">
        <v>284</v>
      </c>
      <c r="C34" s="4" t="s">
        <v>179</v>
      </c>
      <c r="D34" s="4">
        <v>0.98</v>
      </c>
      <c r="E34" s="4">
        <v>566</v>
      </c>
      <c r="F34" s="4">
        <v>400</v>
      </c>
      <c r="G34" s="4">
        <v>400</v>
      </c>
      <c r="H34" s="4"/>
      <c r="I34" s="4"/>
      <c r="J34" s="5"/>
      <c r="K34" s="8"/>
      <c r="L34" s="83">
        <v>145</v>
      </c>
      <c r="M34" s="83">
        <v>173</v>
      </c>
      <c r="N34" s="78">
        <f>VLOOKUP(L34,위치정보!$A$2:$B$236,2,0)</f>
        <v>117100</v>
      </c>
      <c r="O34" s="78">
        <f>VLOOKUP(M34,위치정보!$A$2:$B$236,2,)</f>
        <v>140060</v>
      </c>
      <c r="P34" s="84">
        <v>0</v>
      </c>
      <c r="Q34" s="84">
        <v>-30200</v>
      </c>
      <c r="R34" s="85">
        <v>2100</v>
      </c>
      <c r="S34" s="85">
        <v>7810</v>
      </c>
      <c r="T34" s="91">
        <v>641.61</v>
      </c>
      <c r="U34" s="86">
        <f t="shared" si="0"/>
        <v>628.77779999999996</v>
      </c>
      <c r="V34" s="82">
        <v>0.98</v>
      </c>
      <c r="W34" s="87">
        <v>0.9</v>
      </c>
      <c r="X34" s="9">
        <f t="shared" si="1"/>
        <v>565.90001999999993</v>
      </c>
      <c r="Y34" s="88">
        <f t="shared" si="2"/>
        <v>5.71</v>
      </c>
      <c r="Z34" s="89">
        <f t="shared" si="3"/>
        <v>5.4894798000000002E-2</v>
      </c>
      <c r="AB34" s="2">
        <v>584.99408766564704</v>
      </c>
      <c r="AC34" s="7">
        <v>5</v>
      </c>
    </row>
    <row r="35" spans="1:33" x14ac:dyDescent="0.3">
      <c r="A35" s="1"/>
      <c r="B35" s="5" t="s">
        <v>285</v>
      </c>
      <c r="C35" s="4" t="s">
        <v>5</v>
      </c>
      <c r="D35" s="4">
        <v>0.98</v>
      </c>
      <c r="E35" s="4">
        <v>543</v>
      </c>
      <c r="F35" s="4">
        <v>239</v>
      </c>
      <c r="G35" s="4">
        <v>239</v>
      </c>
      <c r="H35" s="4"/>
      <c r="I35" s="4"/>
      <c r="J35" s="5"/>
      <c r="K35" s="8"/>
      <c r="L35" s="83">
        <v>49</v>
      </c>
      <c r="M35" s="83">
        <v>97</v>
      </c>
      <c r="N35" s="78">
        <f>VLOOKUP(L35,위치정보!$A$2:$B$236,2,0)</f>
        <v>38380</v>
      </c>
      <c r="O35" s="78">
        <f>VLOOKUP(M35,위치정보!$A$2:$B$236,2,)</f>
        <v>77740</v>
      </c>
      <c r="P35" s="84">
        <v>0</v>
      </c>
      <c r="Q35" s="84">
        <v>30200</v>
      </c>
      <c r="R35" s="85">
        <v>2100</v>
      </c>
      <c r="S35" s="85">
        <v>4920</v>
      </c>
      <c r="T35" s="91">
        <v>652.25</v>
      </c>
      <c r="U35" s="86">
        <f t="shared" si="0"/>
        <v>639.20500000000004</v>
      </c>
      <c r="V35" s="82">
        <v>0.98</v>
      </c>
      <c r="W35" s="87">
        <v>0.85</v>
      </c>
      <c r="X35" s="9">
        <f t="shared" si="1"/>
        <v>543.32425000000001</v>
      </c>
      <c r="Y35" s="88">
        <f t="shared" si="2"/>
        <v>2.82</v>
      </c>
      <c r="Z35" s="89">
        <f t="shared" si="3"/>
        <v>2.7110915999999999E-2</v>
      </c>
      <c r="AB35" s="2">
        <v>553.81967380224296</v>
      </c>
      <c r="AC35" s="7">
        <v>6</v>
      </c>
    </row>
    <row r="36" spans="1:33" x14ac:dyDescent="0.3">
      <c r="A36" s="1"/>
      <c r="B36" s="5" t="s">
        <v>285</v>
      </c>
      <c r="C36" s="4" t="s">
        <v>179</v>
      </c>
      <c r="D36" s="4">
        <v>0.98</v>
      </c>
      <c r="E36" s="4">
        <v>540</v>
      </c>
      <c r="F36" s="4">
        <v>239</v>
      </c>
      <c r="G36" s="4">
        <v>239</v>
      </c>
      <c r="H36" s="4"/>
      <c r="I36" s="4"/>
      <c r="J36" s="5"/>
      <c r="K36" s="90">
        <f>SUM(J33:J36)</f>
        <v>0</v>
      </c>
      <c r="L36" s="83">
        <v>49</v>
      </c>
      <c r="M36" s="83">
        <v>97</v>
      </c>
      <c r="N36" s="78">
        <f>VLOOKUP(L36,위치정보!$A$2:$B$236,2,0)</f>
        <v>38380</v>
      </c>
      <c r="O36" s="78">
        <f>VLOOKUP(M36,위치정보!$A$2:$B$236,2,)</f>
        <v>77740</v>
      </c>
      <c r="P36" s="84">
        <v>0</v>
      </c>
      <c r="Q36" s="84">
        <v>30200</v>
      </c>
      <c r="R36" s="85">
        <v>2100</v>
      </c>
      <c r="S36" s="85">
        <v>4920</v>
      </c>
      <c r="T36" s="91">
        <v>648.66999999999996</v>
      </c>
      <c r="U36" s="86">
        <f t="shared" si="0"/>
        <v>635.69659999999999</v>
      </c>
      <c r="V36" s="82">
        <v>0.98</v>
      </c>
      <c r="W36" s="87">
        <v>0.85</v>
      </c>
      <c r="X36" s="9">
        <f t="shared" si="1"/>
        <v>540.34210999999993</v>
      </c>
      <c r="Y36" s="88">
        <f t="shared" si="2"/>
        <v>2.82</v>
      </c>
      <c r="Z36" s="89">
        <f t="shared" si="3"/>
        <v>2.7110915999999999E-2</v>
      </c>
      <c r="AB36" s="2">
        <v>553.81967380224296</v>
      </c>
      <c r="AC36" s="7">
        <v>7</v>
      </c>
    </row>
    <row r="37" spans="1:33" x14ac:dyDescent="0.3">
      <c r="A37" s="1"/>
      <c r="B37" s="5" t="s">
        <v>286</v>
      </c>
      <c r="C37" s="4" t="s">
        <v>5</v>
      </c>
      <c r="D37" s="4">
        <v>0.88</v>
      </c>
      <c r="E37" s="4">
        <v>51</v>
      </c>
      <c r="F37" s="4">
        <v>51</v>
      </c>
      <c r="G37" s="4">
        <v>51</v>
      </c>
      <c r="H37" s="4"/>
      <c r="I37" s="4"/>
      <c r="J37" s="5"/>
      <c r="K37" s="8"/>
      <c r="L37" s="83">
        <v>13</v>
      </c>
      <c r="M37" s="83">
        <v>18</v>
      </c>
      <c r="N37" s="78">
        <f>VLOOKUP(L37,위치정보!$A$2:$B$236,2,0)</f>
        <v>9100</v>
      </c>
      <c r="O37" s="78">
        <f>VLOOKUP(M37,위치정보!$A$2:$B$236,2,)</f>
        <v>12960</v>
      </c>
      <c r="P37" s="84">
        <f>820*10</f>
        <v>8200</v>
      </c>
      <c r="Q37" s="84">
        <f>8200+820*4</f>
        <v>11480</v>
      </c>
      <c r="R37" s="85">
        <f>10750-100</f>
        <v>10650</v>
      </c>
      <c r="S37" s="85">
        <v>20940</v>
      </c>
      <c r="T37" s="91">
        <v>64.489999999999995</v>
      </c>
      <c r="U37" s="86">
        <f t="shared" si="0"/>
        <v>56.751199999999997</v>
      </c>
      <c r="V37" s="82">
        <v>0.88</v>
      </c>
      <c r="W37" s="87">
        <v>0.9</v>
      </c>
      <c r="X37" s="9">
        <f t="shared" si="1"/>
        <v>51.076079999999997</v>
      </c>
      <c r="Y37" s="88">
        <f t="shared" si="2"/>
        <v>10.29</v>
      </c>
      <c r="Z37" s="89">
        <f t="shared" si="3"/>
        <v>8.8831512000000001E-2</v>
      </c>
      <c r="AB37" s="2"/>
      <c r="AC37" s="7">
        <v>8</v>
      </c>
    </row>
    <row r="38" spans="1:33" x14ac:dyDescent="0.3">
      <c r="A38" s="1"/>
      <c r="B38" s="5" t="s">
        <v>286</v>
      </c>
      <c r="C38" s="4" t="s">
        <v>179</v>
      </c>
      <c r="D38" s="4">
        <v>0.88</v>
      </c>
      <c r="E38" s="4">
        <v>38</v>
      </c>
      <c r="F38" s="4">
        <v>38</v>
      </c>
      <c r="G38" s="4">
        <v>38</v>
      </c>
      <c r="H38" s="4"/>
      <c r="I38" s="4"/>
      <c r="J38" s="5"/>
      <c r="K38" s="90">
        <f>SUM(J37:J38)</f>
        <v>0</v>
      </c>
      <c r="L38" s="83">
        <v>13</v>
      </c>
      <c r="M38" s="83">
        <v>18</v>
      </c>
      <c r="N38" s="78">
        <f>VLOOKUP(L38,위치정보!$A$2:$B$236,2,0)</f>
        <v>9100</v>
      </c>
      <c r="O38" s="78">
        <f>VLOOKUP(M38,위치정보!$A$2:$B$236,2,)</f>
        <v>12960</v>
      </c>
      <c r="P38" s="84">
        <f>-820*10</f>
        <v>-8200</v>
      </c>
      <c r="Q38" s="84">
        <f>-8200-820*4</f>
        <v>-11480</v>
      </c>
      <c r="R38" s="85">
        <v>10650</v>
      </c>
      <c r="S38" s="85">
        <v>20940</v>
      </c>
      <c r="T38" s="91">
        <v>48.24</v>
      </c>
      <c r="U38" s="86">
        <f t="shared" si="0"/>
        <v>42.4512</v>
      </c>
      <c r="V38" s="82">
        <v>0.88</v>
      </c>
      <c r="W38" s="87">
        <v>0.9</v>
      </c>
      <c r="X38" s="9">
        <f t="shared" si="1"/>
        <v>38.20608</v>
      </c>
      <c r="Y38" s="88">
        <f t="shared" si="2"/>
        <v>10.29</v>
      </c>
      <c r="Z38" s="89">
        <f t="shared" si="3"/>
        <v>8.8831512000000001E-2</v>
      </c>
      <c r="AB38" s="2"/>
      <c r="AC38" s="7">
        <v>9</v>
      </c>
      <c r="AF38" s="97" t="s">
        <v>238</v>
      </c>
      <c r="AG38" s="97" t="s">
        <v>239</v>
      </c>
    </row>
    <row r="39" spans="1:33" x14ac:dyDescent="0.3">
      <c r="E39" s="3">
        <f>SUM(E8:E38)</f>
        <v>25789.5</v>
      </c>
      <c r="F39" s="3">
        <f>SUM(F8:F38)</f>
        <v>25336.5</v>
      </c>
      <c r="G39" s="3">
        <f>SUM(G8:G38)</f>
        <v>37807.5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14"/>
  <sheetViews>
    <sheetView zoomScaleNormal="100" workbookViewId="0">
      <selection activeCell="B45" sqref="B45:B57"/>
    </sheetView>
  </sheetViews>
  <sheetFormatPr defaultRowHeight="16.5" x14ac:dyDescent="0.3"/>
  <cols>
    <col min="1" max="1" width="11.625" customWidth="1"/>
    <col min="2" max="2" width="12.625" customWidth="1"/>
    <col min="3" max="6" width="12.625" style="1" customWidth="1"/>
    <col min="7" max="7" width="12.375" style="1" customWidth="1"/>
    <col min="8" max="9" width="11.625" customWidth="1"/>
    <col min="10" max="13" width="10.75" customWidth="1"/>
    <col min="14" max="14" width="8.625" customWidth="1"/>
    <col min="15" max="15" width="15.25" customWidth="1"/>
    <col min="16" max="1025" width="8.625" customWidth="1"/>
  </cols>
  <sheetData>
    <row r="2" spans="1:18" x14ac:dyDescent="0.3">
      <c r="A2" s="19" t="s">
        <v>68</v>
      </c>
      <c r="B2" s="1"/>
      <c r="E2" s="20" t="s">
        <v>69</v>
      </c>
      <c r="M2" s="21"/>
      <c r="N2" s="22"/>
      <c r="O2" s="22"/>
      <c r="P2" s="23"/>
      <c r="Q2" s="23"/>
      <c r="R2" s="23"/>
    </row>
    <row r="3" spans="1:18" x14ac:dyDescent="0.3">
      <c r="A3" s="24" t="s">
        <v>70</v>
      </c>
      <c r="B3" s="24" t="s">
        <v>71</v>
      </c>
      <c r="C3" s="24" t="s">
        <v>72</v>
      </c>
      <c r="E3" s="1" t="s">
        <v>73</v>
      </c>
      <c r="G3" s="1" t="s">
        <v>74</v>
      </c>
      <c r="M3" s="23"/>
      <c r="N3" s="23"/>
      <c r="O3" s="22"/>
      <c r="P3" s="23"/>
      <c r="Q3" s="23"/>
      <c r="R3" s="22"/>
    </row>
    <row r="4" spans="1:18" x14ac:dyDescent="0.3">
      <c r="A4" s="4" t="s">
        <v>75</v>
      </c>
      <c r="B4" s="25">
        <v>17.945</v>
      </c>
      <c r="C4" s="10">
        <v>558.74</v>
      </c>
      <c r="D4" s="1">
        <f>C4*1.2</f>
        <v>670.48799999999994</v>
      </c>
      <c r="E4" s="26" t="s">
        <v>76</v>
      </c>
      <c r="F4" s="27">
        <f>267.8*1.2</f>
        <v>321.36</v>
      </c>
      <c r="G4" s="28" t="s">
        <v>77</v>
      </c>
      <c r="H4" s="29">
        <v>200</v>
      </c>
      <c r="M4" s="23"/>
      <c r="N4" s="23"/>
      <c r="O4" s="23"/>
      <c r="P4" s="23"/>
      <c r="Q4" s="23"/>
      <c r="R4" s="23"/>
    </row>
    <row r="5" spans="1:18" x14ac:dyDescent="0.3">
      <c r="A5" s="4" t="s">
        <v>78</v>
      </c>
      <c r="B5" s="25">
        <v>20.94</v>
      </c>
      <c r="C5" s="10">
        <v>686.64</v>
      </c>
      <c r="D5" s="1">
        <f>C5*1.2</f>
        <v>823.96799999999996</v>
      </c>
      <c r="E5" s="30" t="s">
        <v>79</v>
      </c>
      <c r="F5" s="31">
        <f>436.6*1.2</f>
        <v>523.91999999999996</v>
      </c>
      <c r="G5" s="32" t="s">
        <v>80</v>
      </c>
      <c r="H5" s="33">
        <v>200</v>
      </c>
      <c r="M5" s="34"/>
      <c r="N5" s="22"/>
      <c r="O5" s="22"/>
      <c r="P5" s="23"/>
      <c r="Q5" s="23"/>
      <c r="R5" s="23"/>
    </row>
    <row r="6" spans="1:18" x14ac:dyDescent="0.3">
      <c r="A6" s="4" t="s">
        <v>81</v>
      </c>
      <c r="B6" s="25">
        <v>23.68</v>
      </c>
      <c r="C6" s="10">
        <v>529.07000000000005</v>
      </c>
      <c r="D6" s="1">
        <f>C6*1.2</f>
        <v>634.88400000000001</v>
      </c>
      <c r="E6" s="32" t="s">
        <v>82</v>
      </c>
      <c r="F6" s="31">
        <f>52.04*1.2</f>
        <v>62.447999999999993</v>
      </c>
      <c r="G6" s="32"/>
      <c r="H6" s="33"/>
      <c r="M6" s="34"/>
      <c r="N6" s="22"/>
      <c r="O6" s="22"/>
      <c r="P6" s="23"/>
      <c r="Q6" s="23"/>
      <c r="R6" s="23"/>
    </row>
    <row r="7" spans="1:18" x14ac:dyDescent="0.3">
      <c r="A7" s="4" t="s">
        <v>83</v>
      </c>
      <c r="B7" s="25">
        <v>26.4</v>
      </c>
      <c r="C7" s="10">
        <v>561</v>
      </c>
      <c r="D7" s="1">
        <f>C7*1.2</f>
        <v>673.19999999999993</v>
      </c>
      <c r="E7" s="35" t="s">
        <v>84</v>
      </c>
      <c r="F7" s="36">
        <f>730.5*120%</f>
        <v>876.6</v>
      </c>
      <c r="G7" s="37"/>
      <c r="H7" s="38"/>
      <c r="M7" s="34"/>
      <c r="N7" s="22"/>
      <c r="O7" s="22"/>
      <c r="P7" s="23"/>
      <c r="Q7" s="23"/>
      <c r="R7" s="23"/>
    </row>
    <row r="8" spans="1:18" x14ac:dyDescent="0.3">
      <c r="A8" s="4" t="s">
        <v>85</v>
      </c>
      <c r="B8" s="25">
        <v>28.8</v>
      </c>
      <c r="C8" s="10">
        <v>730.5</v>
      </c>
      <c r="D8" s="1">
        <f>C8*1.2</f>
        <v>876.6</v>
      </c>
      <c r="E8" s="39" t="s">
        <v>86</v>
      </c>
      <c r="F8" s="40">
        <f>SUM(F4:F6)</f>
        <v>907.72799999999995</v>
      </c>
      <c r="G8" s="41" t="s">
        <v>86</v>
      </c>
      <c r="H8" s="40">
        <f>SUM(H4:H6)</f>
        <v>400</v>
      </c>
      <c r="J8">
        <f>2033/2</f>
        <v>1016.5</v>
      </c>
      <c r="K8">
        <v>13</v>
      </c>
      <c r="L8">
        <f>J8/K8</f>
        <v>78.192307692307693</v>
      </c>
      <c r="M8" s="34"/>
      <c r="N8" s="22"/>
      <c r="O8" s="22"/>
      <c r="P8" s="23"/>
      <c r="Q8" s="23"/>
      <c r="R8" s="23"/>
    </row>
    <row r="9" spans="1:18" x14ac:dyDescent="0.3">
      <c r="A9" s="4" t="s">
        <v>87</v>
      </c>
      <c r="B9" s="25"/>
      <c r="C9" s="10">
        <v>1156</v>
      </c>
      <c r="E9" s="42"/>
      <c r="F9" s="43"/>
      <c r="G9" s="44"/>
      <c r="H9" s="43"/>
      <c r="M9" s="34"/>
      <c r="N9" s="22"/>
      <c r="O9" s="22"/>
      <c r="P9" s="23"/>
      <c r="Q9" s="23"/>
      <c r="R9" s="23"/>
    </row>
    <row r="10" spans="1:18" x14ac:dyDescent="0.3">
      <c r="A10" s="24" t="s">
        <v>88</v>
      </c>
      <c r="B10" s="24"/>
      <c r="C10" s="45">
        <f>SUM(C4:C8)</f>
        <v>3065.9500000000003</v>
      </c>
      <c r="D10" s="45">
        <f>SUM(D4:D8)</f>
        <v>3679.14</v>
      </c>
      <c r="E10" s="42" t="s">
        <v>89</v>
      </c>
      <c r="F10" s="46">
        <f>F8+H8</f>
        <v>1307.7280000000001</v>
      </c>
      <c r="G10" s="46">
        <f>F10-F7</f>
        <v>431.12800000000004</v>
      </c>
      <c r="H10" s="47"/>
      <c r="M10" s="22"/>
      <c r="N10" s="22"/>
      <c r="O10" s="22"/>
      <c r="P10" s="22"/>
      <c r="Q10" s="22"/>
      <c r="R10" s="22"/>
    </row>
    <row r="12" spans="1:18" x14ac:dyDescent="0.3">
      <c r="A12" s="19" t="s">
        <v>90</v>
      </c>
    </row>
    <row r="13" spans="1:18" x14ac:dyDescent="0.3">
      <c r="A13" s="48" t="s">
        <v>91</v>
      </c>
      <c r="B13" s="24" t="s">
        <v>92</v>
      </c>
      <c r="C13" s="24" t="s">
        <v>93</v>
      </c>
      <c r="D13" s="24" t="s">
        <v>94</v>
      </c>
      <c r="E13" s="24" t="s">
        <v>95</v>
      </c>
      <c r="F13" s="24" t="s">
        <v>96</v>
      </c>
      <c r="G13" s="24" t="s">
        <v>97</v>
      </c>
      <c r="H13" s="127" t="s">
        <v>98</v>
      </c>
      <c r="I13" s="127"/>
      <c r="J13" s="127"/>
      <c r="K13" s="127"/>
      <c r="L13" s="127"/>
      <c r="M13" s="127"/>
      <c r="N13" s="127"/>
    </row>
    <row r="14" spans="1:18" x14ac:dyDescent="0.3">
      <c r="A14" s="5" t="s">
        <v>99</v>
      </c>
      <c r="B14" s="4">
        <v>8.7200000000000006</v>
      </c>
      <c r="C14" s="4">
        <v>1.48</v>
      </c>
      <c r="D14" s="4">
        <f t="shared" ref="D14:D24" si="0">0.39*30.2</f>
        <v>11.778</v>
      </c>
      <c r="E14" s="10">
        <v>12983</v>
      </c>
      <c r="F14" s="10">
        <v>12806</v>
      </c>
      <c r="G14" s="10">
        <f t="shared" ref="G14:G24" si="1">E14+F14</f>
        <v>25789</v>
      </c>
      <c r="H14" s="49" t="s">
        <v>100</v>
      </c>
      <c r="I14" s="50"/>
      <c r="J14" s="50"/>
      <c r="K14" s="50"/>
      <c r="L14" s="50"/>
      <c r="M14" s="50"/>
      <c r="N14" s="51"/>
    </row>
    <row r="15" spans="1:18" x14ac:dyDescent="0.3">
      <c r="A15" s="5" t="s">
        <v>101</v>
      </c>
      <c r="B15" s="4">
        <v>8.7200000000000006</v>
      </c>
      <c r="C15" s="4">
        <v>1.97</v>
      </c>
      <c r="D15" s="4">
        <f t="shared" si="0"/>
        <v>11.778</v>
      </c>
      <c r="E15" s="10">
        <v>12983</v>
      </c>
      <c r="F15" s="10">
        <v>12806</v>
      </c>
      <c r="G15" s="10">
        <f t="shared" si="1"/>
        <v>25789</v>
      </c>
      <c r="H15" s="49" t="s">
        <v>102</v>
      </c>
      <c r="I15" s="50"/>
      <c r="J15" s="50"/>
      <c r="K15" s="50"/>
      <c r="L15" s="50"/>
      <c r="M15" s="50"/>
      <c r="N15" s="51"/>
    </row>
    <row r="16" spans="1:18" x14ac:dyDescent="0.3">
      <c r="A16" s="5" t="s">
        <v>103</v>
      </c>
      <c r="B16" s="4">
        <v>8.7200000000000006</v>
      </c>
      <c r="C16" s="4">
        <v>1.48</v>
      </c>
      <c r="D16" s="4">
        <f t="shared" si="0"/>
        <v>11.778</v>
      </c>
      <c r="E16" s="10">
        <v>12983</v>
      </c>
      <c r="F16" s="10">
        <v>12806</v>
      </c>
      <c r="G16" s="10">
        <f t="shared" si="1"/>
        <v>25789</v>
      </c>
      <c r="H16" s="49" t="s">
        <v>104</v>
      </c>
      <c r="I16" s="50"/>
      <c r="J16" s="50"/>
      <c r="K16" s="50"/>
      <c r="L16" s="50"/>
      <c r="M16" s="50"/>
      <c r="N16" s="51"/>
    </row>
    <row r="17" spans="1:24" x14ac:dyDescent="0.3">
      <c r="A17" s="5" t="s">
        <v>105</v>
      </c>
      <c r="B17" s="4">
        <v>8.7200000000000006</v>
      </c>
      <c r="C17" s="4">
        <v>1.76</v>
      </c>
      <c r="D17" s="4">
        <f t="shared" si="0"/>
        <v>11.778</v>
      </c>
      <c r="E17" s="10">
        <v>12983</v>
      </c>
      <c r="F17" s="10">
        <v>12806</v>
      </c>
      <c r="G17" s="10">
        <f t="shared" si="1"/>
        <v>25789</v>
      </c>
      <c r="H17" s="49" t="s">
        <v>106</v>
      </c>
      <c r="I17" s="50"/>
      <c r="J17" s="50"/>
      <c r="K17" s="50"/>
      <c r="L17" s="50"/>
      <c r="M17" s="50"/>
      <c r="N17" s="51"/>
    </row>
    <row r="18" spans="1:24" x14ac:dyDescent="0.3">
      <c r="A18" s="5" t="s">
        <v>107</v>
      </c>
      <c r="B18" s="4">
        <v>8.7200000000000006</v>
      </c>
      <c r="C18" s="4">
        <v>2.1</v>
      </c>
      <c r="D18" s="4">
        <f t="shared" si="0"/>
        <v>11.778</v>
      </c>
      <c r="E18" s="10">
        <v>12983</v>
      </c>
      <c r="F18" s="10">
        <v>12806</v>
      </c>
      <c r="G18" s="10">
        <f t="shared" si="1"/>
        <v>25789</v>
      </c>
      <c r="H18" s="49" t="s">
        <v>108</v>
      </c>
      <c r="I18" s="50"/>
      <c r="J18" s="50"/>
      <c r="K18" s="50"/>
      <c r="L18" s="50"/>
      <c r="M18" s="50"/>
      <c r="N18" s="51"/>
    </row>
    <row r="19" spans="1:24" x14ac:dyDescent="0.3">
      <c r="A19" s="5" t="s">
        <v>109</v>
      </c>
      <c r="B19" s="4">
        <v>8.7200000000000006</v>
      </c>
      <c r="C19" s="4">
        <v>1.87</v>
      </c>
      <c r="D19" s="4">
        <f t="shared" si="0"/>
        <v>11.778</v>
      </c>
      <c r="E19" s="10">
        <v>12983</v>
      </c>
      <c r="F19" s="10">
        <v>12806</v>
      </c>
      <c r="G19" s="10">
        <f t="shared" si="1"/>
        <v>25789</v>
      </c>
      <c r="H19" s="49" t="s">
        <v>110</v>
      </c>
      <c r="I19" s="50"/>
      <c r="J19" s="50"/>
      <c r="K19" s="50"/>
      <c r="L19" s="50"/>
      <c r="M19" s="50"/>
      <c r="N19" s="51"/>
    </row>
    <row r="20" spans="1:24" x14ac:dyDescent="0.3">
      <c r="A20" s="5" t="s">
        <v>111</v>
      </c>
      <c r="B20" s="4">
        <v>8.7200000000000006</v>
      </c>
      <c r="C20" s="4">
        <v>2.0299999999999998</v>
      </c>
      <c r="D20" s="4">
        <f t="shared" si="0"/>
        <v>11.778</v>
      </c>
      <c r="E20" s="10">
        <v>12983</v>
      </c>
      <c r="F20" s="10">
        <v>12806</v>
      </c>
      <c r="G20" s="10">
        <f t="shared" si="1"/>
        <v>25789</v>
      </c>
      <c r="H20" s="49" t="s">
        <v>112</v>
      </c>
      <c r="I20" s="50"/>
      <c r="J20" s="50"/>
      <c r="K20" s="50"/>
      <c r="L20" s="50"/>
      <c r="M20" s="50"/>
      <c r="N20" s="51"/>
    </row>
    <row r="21" spans="1:24" x14ac:dyDescent="0.3">
      <c r="A21" s="5" t="s">
        <v>113</v>
      </c>
      <c r="B21" s="4">
        <v>8.7200000000000006</v>
      </c>
      <c r="C21" s="4">
        <v>1.98</v>
      </c>
      <c r="D21" s="4">
        <f t="shared" si="0"/>
        <v>11.778</v>
      </c>
      <c r="E21" s="10">
        <v>12983</v>
      </c>
      <c r="F21" s="10">
        <v>12806</v>
      </c>
      <c r="G21" s="10">
        <f t="shared" si="1"/>
        <v>25789</v>
      </c>
      <c r="H21" s="49" t="s">
        <v>114</v>
      </c>
      <c r="I21" s="50"/>
      <c r="J21" s="50"/>
      <c r="K21" s="50"/>
      <c r="L21" s="50"/>
      <c r="M21" s="50"/>
      <c r="N21" s="51"/>
    </row>
    <row r="22" spans="1:24" x14ac:dyDescent="0.3">
      <c r="A22" s="5" t="s">
        <v>115</v>
      </c>
      <c r="B22" s="4">
        <v>8.7100000000000009</v>
      </c>
      <c r="C22" s="4">
        <v>1.96</v>
      </c>
      <c r="D22" s="4">
        <f t="shared" si="0"/>
        <v>11.778</v>
      </c>
      <c r="E22" s="10">
        <v>12983</v>
      </c>
      <c r="F22" s="10">
        <v>12750</v>
      </c>
      <c r="G22" s="10">
        <f t="shared" si="1"/>
        <v>25733</v>
      </c>
      <c r="H22" s="49" t="s">
        <v>116</v>
      </c>
      <c r="I22" s="50"/>
      <c r="J22" s="50"/>
      <c r="K22" s="50"/>
      <c r="L22" s="50"/>
      <c r="M22" s="50"/>
      <c r="N22" s="51"/>
    </row>
    <row r="23" spans="1:24" x14ac:dyDescent="0.3">
      <c r="A23" s="5" t="s">
        <v>117</v>
      </c>
      <c r="B23" s="4">
        <v>8.7200000000000006</v>
      </c>
      <c r="C23" s="4">
        <v>1.87</v>
      </c>
      <c r="D23" s="4">
        <f t="shared" si="0"/>
        <v>11.778</v>
      </c>
      <c r="E23" s="10">
        <v>12983</v>
      </c>
      <c r="F23" s="10">
        <v>12806</v>
      </c>
      <c r="G23" s="10">
        <f t="shared" si="1"/>
        <v>25789</v>
      </c>
      <c r="H23" s="49" t="s">
        <v>118</v>
      </c>
      <c r="I23" s="50"/>
      <c r="J23" s="50"/>
      <c r="K23" s="50"/>
      <c r="L23" s="50"/>
      <c r="M23" s="50"/>
      <c r="N23" s="51"/>
    </row>
    <row r="24" spans="1:24" x14ac:dyDescent="0.3">
      <c r="A24" s="5" t="s">
        <v>119</v>
      </c>
      <c r="B24" s="4">
        <v>8.66</v>
      </c>
      <c r="C24" s="4">
        <v>2.02</v>
      </c>
      <c r="D24" s="4">
        <f t="shared" si="0"/>
        <v>11.778</v>
      </c>
      <c r="E24" s="10">
        <v>12983</v>
      </c>
      <c r="F24" s="10">
        <v>12552</v>
      </c>
      <c r="G24" s="10">
        <f t="shared" si="1"/>
        <v>25535</v>
      </c>
      <c r="H24" s="49" t="s">
        <v>120</v>
      </c>
      <c r="I24" s="50"/>
      <c r="J24" s="50"/>
      <c r="K24" s="50"/>
      <c r="L24" s="50"/>
      <c r="M24" s="50"/>
      <c r="N24" s="51"/>
    </row>
    <row r="26" spans="1:24" x14ac:dyDescent="0.3">
      <c r="A26" s="19" t="s">
        <v>121</v>
      </c>
      <c r="B26" s="1"/>
    </row>
    <row r="27" spans="1:24" x14ac:dyDescent="0.3">
      <c r="A27" s="24" t="s">
        <v>70</v>
      </c>
      <c r="B27" s="24" t="s">
        <v>122</v>
      </c>
      <c r="C27" s="24" t="s">
        <v>123</v>
      </c>
      <c r="D27" s="24" t="s">
        <v>124</v>
      </c>
      <c r="E27" s="24" t="s">
        <v>125</v>
      </c>
      <c r="F27" s="24" t="s">
        <v>126</v>
      </c>
      <c r="G27" s="24" t="s">
        <v>127</v>
      </c>
      <c r="H27" s="24" t="s">
        <v>128</v>
      </c>
      <c r="I27" s="24" t="s">
        <v>129</v>
      </c>
      <c r="J27" s="24" t="s">
        <v>130</v>
      </c>
      <c r="K27" s="24" t="s">
        <v>131</v>
      </c>
      <c r="L27" s="24" t="s">
        <v>132</v>
      </c>
      <c r="M27" s="52" t="s">
        <v>133</v>
      </c>
    </row>
    <row r="28" spans="1:24" x14ac:dyDescent="0.3">
      <c r="A28" s="4" t="s">
        <v>75</v>
      </c>
      <c r="B28" s="10">
        <v>843</v>
      </c>
      <c r="C28" s="10">
        <v>747</v>
      </c>
      <c r="D28" s="10">
        <v>936</v>
      </c>
      <c r="E28" s="10">
        <v>0</v>
      </c>
      <c r="F28" s="10">
        <v>0</v>
      </c>
      <c r="G28" s="10">
        <v>747</v>
      </c>
      <c r="H28" s="10">
        <v>747</v>
      </c>
      <c r="I28" s="53">
        <v>747</v>
      </c>
      <c r="J28" s="53">
        <v>747</v>
      </c>
      <c r="K28" s="53">
        <v>747</v>
      </c>
      <c r="L28" s="53">
        <v>747</v>
      </c>
      <c r="M28" s="54">
        <f>VLOOKUP(A28,$A$45:$C$57,3,0)</f>
        <v>4580</v>
      </c>
      <c r="N28" s="55">
        <f>H28*9.81/(M28*1000)</f>
        <v>1.600015283842795E-3</v>
      </c>
      <c r="O28" s="56"/>
      <c r="P28" s="56"/>
      <c r="Q28" s="56"/>
      <c r="R28" s="54"/>
      <c r="S28" s="54"/>
      <c r="T28" s="54"/>
      <c r="U28" s="54"/>
      <c r="V28" s="54"/>
      <c r="W28" s="54"/>
      <c r="X28" s="54"/>
    </row>
    <row r="29" spans="1:24" x14ac:dyDescent="0.3">
      <c r="A29" s="4" t="s">
        <v>78</v>
      </c>
      <c r="B29" s="10">
        <v>741</v>
      </c>
      <c r="C29" s="10">
        <v>648</v>
      </c>
      <c r="D29" s="10">
        <v>834</v>
      </c>
      <c r="E29" s="10">
        <v>1386</v>
      </c>
      <c r="F29" s="10">
        <v>1386</v>
      </c>
      <c r="G29" s="10">
        <v>648</v>
      </c>
      <c r="H29" s="10">
        <v>648</v>
      </c>
      <c r="I29" s="53">
        <v>648</v>
      </c>
      <c r="J29" s="53">
        <v>648</v>
      </c>
      <c r="K29" s="53">
        <v>648</v>
      </c>
      <c r="L29" s="53">
        <v>648</v>
      </c>
      <c r="M29" s="54">
        <f>VLOOKUP(A29,$A$45:$C$57,3,0)</f>
        <v>4330</v>
      </c>
      <c r="N29" s="55">
        <f>H29*9.81/(M29*1000)</f>
        <v>1.4681016166281755E-3</v>
      </c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spans="1:24" x14ac:dyDescent="0.3">
      <c r="A30" s="4" t="s">
        <v>81</v>
      </c>
      <c r="B30" s="10">
        <v>905</v>
      </c>
      <c r="C30" s="10">
        <v>828</v>
      </c>
      <c r="D30" s="10">
        <v>1020</v>
      </c>
      <c r="E30" s="10">
        <v>0</v>
      </c>
      <c r="F30" s="10">
        <v>0</v>
      </c>
      <c r="G30" s="10">
        <v>828</v>
      </c>
      <c r="H30" s="10">
        <v>828</v>
      </c>
      <c r="I30" s="53">
        <v>828</v>
      </c>
      <c r="J30" s="53">
        <v>828</v>
      </c>
      <c r="K30" s="53">
        <v>828</v>
      </c>
      <c r="L30" s="53">
        <v>828</v>
      </c>
      <c r="M30" s="54">
        <f>VLOOKUP(A30,$A$45:$C$57,3,0)</f>
        <v>4880</v>
      </c>
      <c r="N30" s="55">
        <f>H30*9.81/(M30*1000)</f>
        <v>1.664483606557377E-3</v>
      </c>
    </row>
    <row r="31" spans="1:24" x14ac:dyDescent="0.3">
      <c r="A31" s="4" t="s">
        <v>83</v>
      </c>
      <c r="B31" s="10">
        <v>930</v>
      </c>
      <c r="C31" s="10">
        <v>825</v>
      </c>
      <c r="D31" s="10">
        <v>825</v>
      </c>
      <c r="E31" s="10">
        <v>825</v>
      </c>
      <c r="F31" s="10">
        <v>825</v>
      </c>
      <c r="G31" s="53">
        <v>825</v>
      </c>
      <c r="H31" s="53">
        <v>825</v>
      </c>
      <c r="I31" s="53">
        <v>825</v>
      </c>
      <c r="J31" s="53">
        <v>825</v>
      </c>
      <c r="K31" s="53">
        <v>825</v>
      </c>
      <c r="L31" s="53">
        <v>825</v>
      </c>
      <c r="M31" s="54">
        <f>VLOOKUP(A31,$A$45:$C$57,3,0)</f>
        <v>4950</v>
      </c>
      <c r="N31" s="55">
        <f>H31*9.81/(M31*1000)</f>
        <v>1.635E-3</v>
      </c>
    </row>
    <row r="32" spans="1:24" x14ac:dyDescent="0.3">
      <c r="A32" s="4" t="s">
        <v>85</v>
      </c>
      <c r="B32" s="10">
        <v>1299</v>
      </c>
      <c r="C32" s="10">
        <v>1117</v>
      </c>
      <c r="D32" s="10">
        <v>1055</v>
      </c>
      <c r="E32" s="10">
        <v>1117</v>
      </c>
      <c r="F32" s="10">
        <v>1117</v>
      </c>
      <c r="G32" s="53">
        <v>1117</v>
      </c>
      <c r="H32" s="53">
        <v>1117</v>
      </c>
      <c r="I32" s="53">
        <v>1117</v>
      </c>
      <c r="J32" s="53">
        <v>1117</v>
      </c>
      <c r="K32" s="53">
        <v>1117</v>
      </c>
      <c r="L32" s="53">
        <v>1117</v>
      </c>
      <c r="M32" s="54">
        <f>VLOOKUP(A32,$A$45:$C$57,3,0)</f>
        <v>3400</v>
      </c>
      <c r="N32" s="55">
        <f>H32*9.81/(M32*1000)</f>
        <v>3.2228735294117647E-3</v>
      </c>
      <c r="O32" s="12">
        <f>10752279/9810</f>
        <v>1096.0529051987767</v>
      </c>
    </row>
    <row r="33" spans="1:15" x14ac:dyDescent="0.3">
      <c r="A33" s="24" t="s">
        <v>88</v>
      </c>
      <c r="B33" s="24">
        <f t="shared" ref="B33:L33" si="2">SUM(B28:B32)</f>
        <v>4718</v>
      </c>
      <c r="C33" s="45">
        <f t="shared" si="2"/>
        <v>4165</v>
      </c>
      <c r="D33" s="45">
        <f t="shared" si="2"/>
        <v>4670</v>
      </c>
      <c r="E33" s="45">
        <f t="shared" si="2"/>
        <v>3328</v>
      </c>
      <c r="F33" s="45">
        <f t="shared" si="2"/>
        <v>3328</v>
      </c>
      <c r="G33" s="45">
        <f t="shared" si="2"/>
        <v>4165</v>
      </c>
      <c r="H33" s="45">
        <f t="shared" si="2"/>
        <v>4165</v>
      </c>
      <c r="I33" s="45">
        <f t="shared" si="2"/>
        <v>4165</v>
      </c>
      <c r="J33" s="45">
        <f t="shared" si="2"/>
        <v>4165</v>
      </c>
      <c r="K33" s="45">
        <f t="shared" si="2"/>
        <v>4165</v>
      </c>
      <c r="L33" s="45">
        <f t="shared" si="2"/>
        <v>4165</v>
      </c>
    </row>
    <row r="34" spans="1:15" x14ac:dyDescent="0.3">
      <c r="A34" s="58" t="s">
        <v>134</v>
      </c>
    </row>
    <row r="35" spans="1:15" x14ac:dyDescent="0.3">
      <c r="A35" s="24" t="s">
        <v>70</v>
      </c>
      <c r="B35" s="24" t="s">
        <v>122</v>
      </c>
      <c r="C35" s="24" t="s">
        <v>123</v>
      </c>
      <c r="D35" s="24" t="s">
        <v>124</v>
      </c>
      <c r="E35" s="24" t="s">
        <v>125</v>
      </c>
      <c r="F35" s="24" t="s">
        <v>126</v>
      </c>
      <c r="G35" s="24" t="s">
        <v>127</v>
      </c>
      <c r="H35" s="24" t="s">
        <v>128</v>
      </c>
      <c r="I35" s="24" t="s">
        <v>129</v>
      </c>
      <c r="J35" s="24" t="s">
        <v>130</v>
      </c>
      <c r="K35" s="24" t="s">
        <v>131</v>
      </c>
      <c r="L35" s="24" t="s">
        <v>132</v>
      </c>
      <c r="N35">
        <f>1117/2</f>
        <v>558.5</v>
      </c>
      <c r="O35">
        <f>N35*9810</f>
        <v>5478885</v>
      </c>
    </row>
    <row r="36" spans="1:15" x14ac:dyDescent="0.3">
      <c r="A36" s="4" t="s">
        <v>75</v>
      </c>
      <c r="B36" s="4">
        <v>527</v>
      </c>
      <c r="C36" s="4">
        <v>485</v>
      </c>
      <c r="D36" s="4">
        <v>493</v>
      </c>
      <c r="E36" s="13"/>
      <c r="F36" s="4"/>
      <c r="G36" s="4">
        <v>485</v>
      </c>
      <c r="H36" s="4">
        <v>485</v>
      </c>
      <c r="I36" s="4">
        <v>485</v>
      </c>
      <c r="J36" s="4">
        <v>485</v>
      </c>
      <c r="K36" s="4">
        <v>485</v>
      </c>
      <c r="L36" s="4">
        <v>485</v>
      </c>
    </row>
    <row r="37" spans="1:15" x14ac:dyDescent="0.3">
      <c r="A37" s="4" t="s">
        <v>78</v>
      </c>
      <c r="B37" s="4">
        <v>463</v>
      </c>
      <c r="C37" s="4">
        <v>420</v>
      </c>
      <c r="D37" s="4">
        <v>439</v>
      </c>
      <c r="E37" s="13">
        <v>77</v>
      </c>
      <c r="F37" s="4">
        <v>77</v>
      </c>
      <c r="G37" s="4">
        <v>420</v>
      </c>
      <c r="H37" s="4">
        <v>420</v>
      </c>
      <c r="I37" s="4">
        <v>420</v>
      </c>
      <c r="J37" s="4">
        <v>420</v>
      </c>
      <c r="K37" s="4">
        <v>420</v>
      </c>
      <c r="L37" s="4">
        <v>420</v>
      </c>
    </row>
    <row r="38" spans="1:15" x14ac:dyDescent="0.3">
      <c r="A38" s="4" t="s">
        <v>81</v>
      </c>
      <c r="B38" s="4">
        <v>565</v>
      </c>
      <c r="C38" s="4">
        <v>537</v>
      </c>
      <c r="D38" s="4">
        <v>536</v>
      </c>
      <c r="E38" s="5"/>
      <c r="F38" s="4"/>
      <c r="G38" s="4">
        <v>537</v>
      </c>
      <c r="H38" s="4">
        <v>537</v>
      </c>
      <c r="I38" s="4">
        <v>537</v>
      </c>
      <c r="J38" s="4">
        <v>537</v>
      </c>
      <c r="K38" s="4">
        <v>537</v>
      </c>
      <c r="L38" s="4">
        <v>537</v>
      </c>
    </row>
    <row r="39" spans="1:15" x14ac:dyDescent="0.3">
      <c r="A39" s="4" t="s">
        <v>83</v>
      </c>
      <c r="B39" s="4">
        <v>581</v>
      </c>
      <c r="C39" s="4">
        <v>536</v>
      </c>
      <c r="D39" s="4">
        <v>536</v>
      </c>
      <c r="E39" s="13">
        <v>536</v>
      </c>
      <c r="F39" s="4">
        <v>536</v>
      </c>
      <c r="G39" s="13">
        <v>536</v>
      </c>
      <c r="H39" s="13">
        <v>536</v>
      </c>
      <c r="I39" s="13">
        <v>536</v>
      </c>
      <c r="J39" s="13">
        <v>536</v>
      </c>
      <c r="K39" s="13">
        <v>536</v>
      </c>
      <c r="L39" s="13">
        <v>536</v>
      </c>
    </row>
    <row r="40" spans="1:15" x14ac:dyDescent="0.3">
      <c r="A40" s="4" t="s">
        <v>85</v>
      </c>
      <c r="B40" s="4">
        <v>813</v>
      </c>
      <c r="C40" s="4">
        <v>726</v>
      </c>
      <c r="D40" s="4">
        <v>686</v>
      </c>
      <c r="E40" s="13">
        <v>726</v>
      </c>
      <c r="F40" s="4">
        <v>726</v>
      </c>
      <c r="G40" s="13">
        <v>726</v>
      </c>
      <c r="H40" s="13">
        <v>726</v>
      </c>
      <c r="I40" s="13">
        <v>726</v>
      </c>
      <c r="J40" s="13">
        <v>726</v>
      </c>
      <c r="K40" s="13">
        <v>726</v>
      </c>
      <c r="L40" s="13">
        <v>726</v>
      </c>
    </row>
    <row r="41" spans="1:15" x14ac:dyDescent="0.3">
      <c r="A41" s="24" t="s">
        <v>135</v>
      </c>
      <c r="B41" s="24">
        <f t="shared" ref="B41:L41" si="3">SUM(B36:B40)</f>
        <v>2949</v>
      </c>
      <c r="C41" s="24">
        <f t="shared" si="3"/>
        <v>2704</v>
      </c>
      <c r="D41" s="24">
        <f t="shared" si="3"/>
        <v>2690</v>
      </c>
      <c r="E41" s="24">
        <f t="shared" si="3"/>
        <v>1339</v>
      </c>
      <c r="F41" s="24">
        <f t="shared" si="3"/>
        <v>1339</v>
      </c>
      <c r="G41" s="24">
        <f t="shared" si="3"/>
        <v>2704</v>
      </c>
      <c r="H41" s="24">
        <f t="shared" si="3"/>
        <v>2704</v>
      </c>
      <c r="I41" s="24">
        <f t="shared" si="3"/>
        <v>2704</v>
      </c>
      <c r="J41" s="24">
        <f t="shared" si="3"/>
        <v>2704</v>
      </c>
      <c r="K41" s="24">
        <f t="shared" si="3"/>
        <v>2704</v>
      </c>
      <c r="L41" s="24">
        <f t="shared" si="3"/>
        <v>2704</v>
      </c>
    </row>
    <row r="42" spans="1:15" x14ac:dyDescent="0.3">
      <c r="B42" s="1"/>
    </row>
    <row r="43" spans="1:15" x14ac:dyDescent="0.3">
      <c r="A43" s="59" t="s">
        <v>136</v>
      </c>
      <c r="B43" s="4" t="s">
        <v>137</v>
      </c>
      <c r="C43" s="5" t="s">
        <v>138</v>
      </c>
      <c r="D43" s="5" t="s">
        <v>139</v>
      </c>
      <c r="E43" s="5" t="s">
        <v>140</v>
      </c>
      <c r="F43" s="5"/>
      <c r="G43" s="5"/>
      <c r="H43" s="4" t="s">
        <v>0</v>
      </c>
      <c r="I43" s="5"/>
      <c r="J43" s="5"/>
      <c r="K43" s="5"/>
    </row>
    <row r="44" spans="1:15" x14ac:dyDescent="0.3">
      <c r="A44" s="59"/>
      <c r="B44" s="4" t="s">
        <v>141</v>
      </c>
      <c r="C44" s="4" t="s">
        <v>142</v>
      </c>
      <c r="D44" s="4" t="s">
        <v>2</v>
      </c>
      <c r="E44" s="4" t="s">
        <v>2</v>
      </c>
      <c r="F44" s="5"/>
      <c r="G44" s="10"/>
      <c r="H44" s="5"/>
      <c r="I44" s="5"/>
      <c r="J44" s="5"/>
      <c r="K44" s="5"/>
    </row>
    <row r="45" spans="1:15" x14ac:dyDescent="0.3">
      <c r="A45" s="4" t="s">
        <v>143</v>
      </c>
      <c r="B45" s="4">
        <f ca="1">SUM(A$16:$E45)</f>
        <v>2100</v>
      </c>
      <c r="C45" s="4">
        <v>590</v>
      </c>
      <c r="D45" s="4">
        <v>114</v>
      </c>
      <c r="E45" s="4">
        <v>0</v>
      </c>
      <c r="F45" s="60">
        <f t="shared" ref="F45:F57" si="4">D45*9.81/(C45*1000)</f>
        <v>1.8954915254237291E-3</v>
      </c>
      <c r="G45" s="61">
        <f t="shared" ref="G45:G57" si="5">E45*9.81/(C45*1000)</f>
        <v>0</v>
      </c>
      <c r="H45" s="5"/>
      <c r="I45" s="5"/>
      <c r="J45" s="5"/>
      <c r="K45" s="5"/>
    </row>
    <row r="46" spans="1:15" x14ac:dyDescent="0.3">
      <c r="A46" s="4" t="s">
        <v>144</v>
      </c>
      <c r="B46" s="4">
        <f ca="1">SUM(A$16:$E46)</f>
        <v>4920</v>
      </c>
      <c r="C46" s="4">
        <v>1660</v>
      </c>
      <c r="D46" s="4">
        <v>327</v>
      </c>
      <c r="E46" s="4">
        <v>126</v>
      </c>
      <c r="F46" s="60">
        <f t="shared" si="4"/>
        <v>1.9324518072289158E-3</v>
      </c>
      <c r="G46" s="62">
        <f t="shared" si="5"/>
        <v>7.4461445783132536E-4</v>
      </c>
      <c r="H46" s="13">
        <v>1191189.8</v>
      </c>
      <c r="I46" s="6">
        <f t="shared" ref="I46:I54" si="6">H46/9810</f>
        <v>121.4260754332314</v>
      </c>
      <c r="J46" s="5" t="b">
        <f>E46&lt;I46</f>
        <v>0</v>
      </c>
      <c r="K46" s="6">
        <f t="shared" ref="K46:K54" si="7">I46*1.1</f>
        <v>133.56868297655456</v>
      </c>
    </row>
    <row r="47" spans="1:15" x14ac:dyDescent="0.3">
      <c r="A47" s="4" t="s">
        <v>145</v>
      </c>
      <c r="B47" s="4">
        <f ca="1">SUM(A$16:$E47)</f>
        <v>7810</v>
      </c>
      <c r="C47" s="4">
        <v>2820</v>
      </c>
      <c r="D47" s="4">
        <v>556</v>
      </c>
      <c r="E47" s="4">
        <v>174</v>
      </c>
      <c r="F47" s="60">
        <f t="shared" si="4"/>
        <v>1.9341702127659577E-3</v>
      </c>
      <c r="G47" s="62">
        <f t="shared" si="5"/>
        <v>6.0529787234042556E-4</v>
      </c>
      <c r="H47" s="13">
        <v>1708765.1</v>
      </c>
      <c r="I47" s="6">
        <f t="shared" si="6"/>
        <v>174.18604485219166</v>
      </c>
      <c r="J47" s="5" t="b">
        <f>E47&lt;I47</f>
        <v>1</v>
      </c>
      <c r="K47" s="6">
        <f t="shared" si="7"/>
        <v>191.60464933741085</v>
      </c>
    </row>
    <row r="48" spans="1:15" x14ac:dyDescent="0.3">
      <c r="A48" s="4" t="s">
        <v>146</v>
      </c>
      <c r="B48" s="4">
        <f ca="1">SUM(A$16:$E48)</f>
        <v>10750</v>
      </c>
      <c r="C48" s="4">
        <v>3040</v>
      </c>
      <c r="D48" s="4">
        <v>614</v>
      </c>
      <c r="E48" s="4">
        <v>174</v>
      </c>
      <c r="F48" s="60">
        <f t="shared" si="4"/>
        <v>1.9813618421052632E-3</v>
      </c>
      <c r="G48" s="62">
        <f t="shared" si="5"/>
        <v>5.614934210526316E-4</v>
      </c>
      <c r="H48" s="13">
        <v>1728997.2</v>
      </c>
      <c r="I48" s="6">
        <f t="shared" si="6"/>
        <v>176.24844036697246</v>
      </c>
      <c r="J48" s="5" t="b">
        <f>E48&lt;I48</f>
        <v>1</v>
      </c>
      <c r="K48" s="6">
        <f t="shared" si="7"/>
        <v>193.87328440366971</v>
      </c>
    </row>
    <row r="49" spans="1:11" x14ac:dyDescent="0.3">
      <c r="A49" s="4" t="s">
        <v>147</v>
      </c>
      <c r="B49" s="4">
        <f ca="1">SUM(A$16:$E49)</f>
        <v>14400</v>
      </c>
      <c r="C49" s="4">
        <v>4430</v>
      </c>
      <c r="D49" s="4">
        <v>1890</v>
      </c>
      <c r="E49" s="4">
        <v>707</v>
      </c>
      <c r="F49" s="60">
        <f t="shared" si="4"/>
        <v>4.1853047404063213E-3</v>
      </c>
      <c r="G49" s="62">
        <f t="shared" si="5"/>
        <v>1.5656139954853274E-3</v>
      </c>
      <c r="H49" s="13">
        <v>7331222.5</v>
      </c>
      <c r="I49" s="6">
        <f t="shared" si="6"/>
        <v>747.32135575942914</v>
      </c>
      <c r="J49" s="5" t="b">
        <f>E49&lt;I49</f>
        <v>1</v>
      </c>
      <c r="K49" s="6">
        <f t="shared" si="7"/>
        <v>822.05349133537209</v>
      </c>
    </row>
    <row r="50" spans="1:11" x14ac:dyDescent="0.3">
      <c r="A50" s="4" t="s">
        <v>75</v>
      </c>
      <c r="B50" s="4">
        <f ca="1">SUM(A$16:$E50)</f>
        <v>17945</v>
      </c>
      <c r="C50" s="4">
        <v>4580</v>
      </c>
      <c r="D50" s="4">
        <v>936</v>
      </c>
      <c r="E50" s="10">
        <v>747</v>
      </c>
      <c r="F50" s="60">
        <f t="shared" si="4"/>
        <v>2.004838427947598E-3</v>
      </c>
      <c r="G50" s="62">
        <f t="shared" si="5"/>
        <v>1.600015283842795E-3</v>
      </c>
      <c r="H50" s="4"/>
      <c r="I50" s="6">
        <f t="shared" si="6"/>
        <v>0</v>
      </c>
      <c r="J50" s="5"/>
      <c r="K50" s="6">
        <f t="shared" si="7"/>
        <v>0</v>
      </c>
    </row>
    <row r="51" spans="1:11" x14ac:dyDescent="0.3">
      <c r="A51" s="4" t="s">
        <v>78</v>
      </c>
      <c r="B51" s="4">
        <f ca="1">SUM(A$16:$E51)</f>
        <v>20940</v>
      </c>
      <c r="C51" s="4">
        <v>4330</v>
      </c>
      <c r="D51" s="4">
        <v>1386</v>
      </c>
      <c r="E51" s="10">
        <v>648</v>
      </c>
      <c r="F51" s="60">
        <f t="shared" si="4"/>
        <v>3.14010623556582E-3</v>
      </c>
      <c r="G51" s="62">
        <f t="shared" si="5"/>
        <v>1.4681016166281755E-3</v>
      </c>
      <c r="H51" s="13">
        <v>7159624.5</v>
      </c>
      <c r="I51" s="6">
        <f t="shared" si="6"/>
        <v>729.82920489296635</v>
      </c>
      <c r="J51" s="5" t="b">
        <f>E51&lt;I51</f>
        <v>1</v>
      </c>
      <c r="K51" s="6">
        <f t="shared" si="7"/>
        <v>802.81212538226305</v>
      </c>
    </row>
    <row r="52" spans="1:11" x14ac:dyDescent="0.3">
      <c r="A52" s="4" t="s">
        <v>81</v>
      </c>
      <c r="B52" s="4">
        <f ca="1">SUM(A$16:$E52)</f>
        <v>23680</v>
      </c>
      <c r="C52" s="4">
        <v>4880</v>
      </c>
      <c r="D52" s="4">
        <v>1020</v>
      </c>
      <c r="E52" s="10">
        <v>828</v>
      </c>
      <c r="F52" s="60">
        <f t="shared" si="4"/>
        <v>2.0504508196721315E-3</v>
      </c>
      <c r="G52" s="62">
        <f t="shared" si="5"/>
        <v>1.664483606557377E-3</v>
      </c>
      <c r="H52" s="4"/>
      <c r="I52" s="6">
        <f t="shared" si="6"/>
        <v>0</v>
      </c>
      <c r="J52" s="5"/>
      <c r="K52" s="6">
        <f t="shared" si="7"/>
        <v>0</v>
      </c>
    </row>
    <row r="53" spans="1:11" x14ac:dyDescent="0.3">
      <c r="A53" s="4" t="s">
        <v>83</v>
      </c>
      <c r="B53" s="4">
        <f ca="1">SUM(A$16:$E53)</f>
        <v>26400</v>
      </c>
      <c r="C53" s="4">
        <v>4950</v>
      </c>
      <c r="D53" s="4">
        <v>930</v>
      </c>
      <c r="E53" s="53">
        <v>825</v>
      </c>
      <c r="F53" s="60">
        <f t="shared" si="4"/>
        <v>1.8430909090909092E-3</v>
      </c>
      <c r="G53" s="62">
        <f t="shared" si="5"/>
        <v>1.635E-3</v>
      </c>
      <c r="H53" s="13">
        <v>8448203</v>
      </c>
      <c r="I53" s="6">
        <f t="shared" si="6"/>
        <v>861.18277268093777</v>
      </c>
      <c r="J53" s="5" t="b">
        <f>E53&lt;I53</f>
        <v>1</v>
      </c>
      <c r="K53" s="6">
        <f t="shared" si="7"/>
        <v>947.30104994903161</v>
      </c>
    </row>
    <row r="54" spans="1:11" x14ac:dyDescent="0.3">
      <c r="A54" s="4" t="s">
        <v>85</v>
      </c>
      <c r="B54" s="4">
        <f ca="1">SUM(A$16:$E54)</f>
        <v>28800</v>
      </c>
      <c r="C54" s="4">
        <v>3400</v>
      </c>
      <c r="D54" s="4">
        <v>626</v>
      </c>
      <c r="E54" s="53">
        <v>540</v>
      </c>
      <c r="F54" s="60">
        <f t="shared" si="4"/>
        <v>1.8061941176470589E-3</v>
      </c>
      <c r="G54" s="62">
        <f t="shared" si="5"/>
        <v>1.558058823529412E-3</v>
      </c>
      <c r="H54" s="4">
        <v>5241771</v>
      </c>
      <c r="I54" s="6">
        <f t="shared" si="6"/>
        <v>534.32935779816512</v>
      </c>
      <c r="J54" s="5" t="b">
        <f>E54&lt;I54</f>
        <v>0</v>
      </c>
      <c r="K54" s="6">
        <f t="shared" si="7"/>
        <v>587.76229357798172</v>
      </c>
    </row>
    <row r="55" spans="1:11" x14ac:dyDescent="0.3">
      <c r="A55" s="4" t="s">
        <v>148</v>
      </c>
      <c r="B55" s="4">
        <f ca="1">SUM(A$16:$E55)</f>
        <v>31070</v>
      </c>
      <c r="C55" s="4">
        <v>3410</v>
      </c>
      <c r="D55" s="4">
        <v>673</v>
      </c>
      <c r="E55" s="4">
        <v>577</v>
      </c>
      <c r="F55" s="60">
        <f t="shared" si="4"/>
        <v>1.9361085043988269E-3</v>
      </c>
      <c r="G55" s="62">
        <f t="shared" si="5"/>
        <v>1.6599325513196482E-3</v>
      </c>
      <c r="H55" s="5"/>
      <c r="I55" s="5"/>
      <c r="J55" s="5"/>
      <c r="K55" s="5"/>
    </row>
    <row r="56" spans="1:11" x14ac:dyDescent="0.3">
      <c r="A56" s="4" t="s">
        <v>149</v>
      </c>
      <c r="B56" s="4">
        <f ca="1">SUM(A$16:$E56)</f>
        <v>33340</v>
      </c>
      <c r="C56" s="4">
        <v>0</v>
      </c>
      <c r="D56" s="4">
        <v>0</v>
      </c>
      <c r="E56" s="4">
        <v>0</v>
      </c>
      <c r="F56" s="1" t="e">
        <f t="shared" si="4"/>
        <v>#DIV/0!</v>
      </c>
      <c r="G56" s="63" t="e">
        <f t="shared" si="5"/>
        <v>#DIV/0!</v>
      </c>
      <c r="H56" s="5"/>
      <c r="I56" s="5"/>
      <c r="J56" s="5"/>
      <c r="K56" s="5"/>
    </row>
    <row r="57" spans="1:11" x14ac:dyDescent="0.3">
      <c r="A57" s="4" t="s">
        <v>150</v>
      </c>
      <c r="B57" s="4">
        <f ca="1">SUM(A$16:$E57)</f>
        <v>35940</v>
      </c>
      <c r="C57" s="4">
        <v>0</v>
      </c>
      <c r="D57" s="4">
        <v>0</v>
      </c>
      <c r="E57" s="4">
        <v>0</v>
      </c>
      <c r="F57" s="1" t="e">
        <f t="shared" si="4"/>
        <v>#DIV/0!</v>
      </c>
      <c r="G57" s="63" t="e">
        <f t="shared" si="5"/>
        <v>#DIV/0!</v>
      </c>
      <c r="H57" s="5"/>
      <c r="I57" s="5"/>
      <c r="J57" s="5"/>
      <c r="K57" s="5"/>
    </row>
    <row r="58" spans="1:11" x14ac:dyDescent="0.3">
      <c r="E58" s="15"/>
    </row>
    <row r="59" spans="1:11" x14ac:dyDescent="0.3">
      <c r="A59" s="4"/>
      <c r="B59" s="4" t="s">
        <v>133</v>
      </c>
      <c r="C59" s="4" t="s">
        <v>151</v>
      </c>
      <c r="D59" s="1" t="s">
        <v>152</v>
      </c>
      <c r="E59" s="1" t="s">
        <v>153</v>
      </c>
      <c r="F59" s="1" t="s">
        <v>154</v>
      </c>
      <c r="H59" s="1"/>
    </row>
    <row r="60" spans="1:11" x14ac:dyDescent="0.3">
      <c r="A60" s="13" t="s">
        <v>18</v>
      </c>
      <c r="B60" s="13">
        <v>94.4</v>
      </c>
      <c r="C60" s="4">
        <v>10.4</v>
      </c>
      <c r="D60" s="64">
        <f t="shared" ref="D60:D85" si="8">B60/$B$86</f>
        <v>2.3061513656129375E-2</v>
      </c>
      <c r="E60" s="14">
        <f t="shared" ref="E60:E85" si="9">D60*$D$86</f>
        <v>17.226950701128644</v>
      </c>
      <c r="F60" s="15">
        <f t="shared" ref="F60:F85" si="10">C60+E60</f>
        <v>27.626950701128642</v>
      </c>
      <c r="G60" s="15">
        <v>4</v>
      </c>
      <c r="H60" s="11">
        <f t="shared" ref="H60:H85" si="11">F60*9810/G60</f>
        <v>67755.096594517992</v>
      </c>
    </row>
    <row r="61" spans="1:11" x14ac:dyDescent="0.3">
      <c r="A61" s="13" t="s">
        <v>32</v>
      </c>
      <c r="B61" s="13">
        <v>92.3</v>
      </c>
      <c r="C61" s="4">
        <v>10.199999999999999</v>
      </c>
      <c r="D61" s="64">
        <f t="shared" si="8"/>
        <v>2.2548492695558697E-2</v>
      </c>
      <c r="E61" s="14">
        <f t="shared" si="9"/>
        <v>16.843724043582348</v>
      </c>
      <c r="F61" s="15">
        <f t="shared" si="10"/>
        <v>27.043724043582348</v>
      </c>
      <c r="G61" s="15">
        <v>4</v>
      </c>
      <c r="H61" s="11">
        <f t="shared" si="11"/>
        <v>66324.73321688571</v>
      </c>
    </row>
    <row r="62" spans="1:11" x14ac:dyDescent="0.3">
      <c r="A62" s="13" t="s">
        <v>19</v>
      </c>
      <c r="B62" s="13">
        <v>191.6</v>
      </c>
      <c r="C62" s="4">
        <v>21.1</v>
      </c>
      <c r="D62" s="64">
        <f t="shared" si="8"/>
        <v>4.6807055259686314E-2</v>
      </c>
      <c r="E62" s="14">
        <f t="shared" si="9"/>
        <v>34.964870278985678</v>
      </c>
      <c r="F62" s="15">
        <f t="shared" si="10"/>
        <v>56.06487027898568</v>
      </c>
      <c r="G62" s="15">
        <v>5</v>
      </c>
      <c r="H62" s="11">
        <f t="shared" si="11"/>
        <v>109999.2754873699</v>
      </c>
    </row>
    <row r="63" spans="1:11" x14ac:dyDescent="0.3">
      <c r="A63" s="13" t="s">
        <v>33</v>
      </c>
      <c r="B63" s="13">
        <v>129.1</v>
      </c>
      <c r="C63" s="4">
        <v>14.3</v>
      </c>
      <c r="D63" s="64">
        <f t="shared" si="8"/>
        <v>3.1538574290320996E-2</v>
      </c>
      <c r="E63" s="14">
        <f t="shared" si="9"/>
        <v>23.559314994869784</v>
      </c>
      <c r="F63" s="15">
        <f t="shared" si="10"/>
        <v>37.859314994869784</v>
      </c>
      <c r="G63" s="15">
        <v>4</v>
      </c>
      <c r="H63" s="11">
        <f t="shared" si="11"/>
        <v>92849.970024918148</v>
      </c>
    </row>
    <row r="64" spans="1:11" x14ac:dyDescent="0.3">
      <c r="A64" s="13" t="s">
        <v>20</v>
      </c>
      <c r="B64" s="13">
        <v>102.7</v>
      </c>
      <c r="C64" s="4">
        <v>11.3</v>
      </c>
      <c r="D64" s="64">
        <f t="shared" si="8"/>
        <v>2.5089167928861088E-2</v>
      </c>
      <c r="E64" s="14">
        <f t="shared" si="9"/>
        <v>18.741608442859231</v>
      </c>
      <c r="F64" s="15">
        <f t="shared" si="10"/>
        <v>30.041608442859232</v>
      </c>
      <c r="G64" s="15">
        <v>4</v>
      </c>
      <c r="H64" s="11">
        <f t="shared" si="11"/>
        <v>73677.044706112269</v>
      </c>
    </row>
    <row r="65" spans="1:8" x14ac:dyDescent="0.3">
      <c r="A65" s="13" t="s">
        <v>34</v>
      </c>
      <c r="B65" s="13">
        <v>180.3</v>
      </c>
      <c r="C65" s="4">
        <v>19.899999999999999</v>
      </c>
      <c r="D65" s="64">
        <f t="shared" si="8"/>
        <v>4.4046513900425063E-2</v>
      </c>
      <c r="E65" s="14">
        <f t="shared" si="9"/>
        <v>32.90274588361752</v>
      </c>
      <c r="F65" s="15">
        <f t="shared" si="10"/>
        <v>52.802745883617519</v>
      </c>
      <c r="G65" s="15">
        <v>4</v>
      </c>
      <c r="H65" s="11">
        <f t="shared" si="11"/>
        <v>129498.73427957196</v>
      </c>
    </row>
    <row r="66" spans="1:8" x14ac:dyDescent="0.3">
      <c r="A66" s="13" t="s">
        <v>21</v>
      </c>
      <c r="B66" s="13">
        <v>135.80000000000001</v>
      </c>
      <c r="C66" s="4">
        <v>14.9</v>
      </c>
      <c r="D66" s="64">
        <f t="shared" si="8"/>
        <v>3.3175355450236962E-2</v>
      </c>
      <c r="E66" s="14">
        <f t="shared" si="9"/>
        <v>24.78199052132701</v>
      </c>
      <c r="F66" s="15">
        <f t="shared" si="10"/>
        <v>39.681990521327009</v>
      </c>
      <c r="G66" s="15">
        <v>4</v>
      </c>
      <c r="H66" s="11">
        <f t="shared" si="11"/>
        <v>97320.081753554492</v>
      </c>
    </row>
    <row r="67" spans="1:8" x14ac:dyDescent="0.3">
      <c r="A67" s="13" t="s">
        <v>35</v>
      </c>
      <c r="B67" s="13">
        <v>178.8</v>
      </c>
      <c r="C67" s="4">
        <v>19.7</v>
      </c>
      <c r="D67" s="64">
        <f t="shared" si="8"/>
        <v>4.3680070357160296E-2</v>
      </c>
      <c r="E67" s="14">
        <f t="shared" si="9"/>
        <v>32.629012556798742</v>
      </c>
      <c r="F67" s="15">
        <f t="shared" si="10"/>
        <v>52.329012556798745</v>
      </c>
      <c r="G67" s="15">
        <v>4</v>
      </c>
      <c r="H67" s="11">
        <f t="shared" si="11"/>
        <v>128336.90329554892</v>
      </c>
    </row>
    <row r="68" spans="1:8" x14ac:dyDescent="0.3">
      <c r="A68" s="13" t="s">
        <v>22</v>
      </c>
      <c r="B68" s="13">
        <v>136.1</v>
      </c>
      <c r="C68" s="4">
        <v>15.6</v>
      </c>
      <c r="D68" s="64">
        <f t="shared" si="8"/>
        <v>3.3248644158889909E-2</v>
      </c>
      <c r="E68" s="14">
        <f t="shared" si="9"/>
        <v>24.836737186690762</v>
      </c>
      <c r="F68" s="15">
        <f t="shared" si="10"/>
        <v>40.436737186690763</v>
      </c>
      <c r="G68" s="15">
        <v>4</v>
      </c>
      <c r="H68" s="11">
        <f t="shared" si="11"/>
        <v>99171.097950359093</v>
      </c>
    </row>
    <row r="69" spans="1:8" x14ac:dyDescent="0.3">
      <c r="A69" s="13" t="s">
        <v>36</v>
      </c>
      <c r="B69" s="13">
        <v>179.7</v>
      </c>
      <c r="C69" s="4">
        <v>20.399999999999999</v>
      </c>
      <c r="D69" s="64">
        <f t="shared" si="8"/>
        <v>4.3899936483119156E-2</v>
      </c>
      <c r="E69" s="14">
        <f t="shared" si="9"/>
        <v>32.79325255289001</v>
      </c>
      <c r="F69" s="15">
        <f t="shared" si="10"/>
        <v>53.193252552890009</v>
      </c>
      <c r="G69" s="15">
        <v>4</v>
      </c>
      <c r="H69" s="11">
        <f t="shared" si="11"/>
        <v>130456.45188596274</v>
      </c>
    </row>
    <row r="70" spans="1:8" x14ac:dyDescent="0.3">
      <c r="A70" s="13" t="s">
        <v>23</v>
      </c>
      <c r="B70" s="13">
        <v>135.6</v>
      </c>
      <c r="C70" s="4">
        <v>14.9</v>
      </c>
      <c r="D70" s="64">
        <f t="shared" si="8"/>
        <v>3.3126496311134991E-2</v>
      </c>
      <c r="E70" s="14">
        <f t="shared" si="9"/>
        <v>24.745492744417838</v>
      </c>
      <c r="F70" s="15">
        <f t="shared" si="10"/>
        <v>39.645492744417837</v>
      </c>
      <c r="G70" s="15">
        <v>4</v>
      </c>
      <c r="H70" s="11">
        <f t="shared" si="11"/>
        <v>97230.570955684743</v>
      </c>
    </row>
    <row r="71" spans="1:8" x14ac:dyDescent="0.3">
      <c r="A71" s="13" t="s">
        <v>37</v>
      </c>
      <c r="B71" s="13">
        <v>178.9</v>
      </c>
      <c r="C71" s="4">
        <v>19.8</v>
      </c>
      <c r="D71" s="64">
        <f t="shared" si="8"/>
        <v>4.3704499926711285E-2</v>
      </c>
      <c r="E71" s="14">
        <f t="shared" si="9"/>
        <v>32.647261445253328</v>
      </c>
      <c r="F71" s="15">
        <f t="shared" si="10"/>
        <v>52.447261445253332</v>
      </c>
      <c r="G71" s="15">
        <v>4</v>
      </c>
      <c r="H71" s="11">
        <f t="shared" si="11"/>
        <v>128626.90869448379</v>
      </c>
    </row>
    <row r="72" spans="1:8" x14ac:dyDescent="0.3">
      <c r="A72" s="13" t="s">
        <v>24</v>
      </c>
      <c r="B72" s="13">
        <v>170.3</v>
      </c>
      <c r="C72" s="4">
        <v>18.899999999999999</v>
      </c>
      <c r="D72" s="64">
        <f t="shared" si="8"/>
        <v>4.1603556945326615E-2</v>
      </c>
      <c r="E72" s="14">
        <f t="shared" si="9"/>
        <v>31.077857038158982</v>
      </c>
      <c r="F72" s="15">
        <f t="shared" si="10"/>
        <v>49.97785703815898</v>
      </c>
      <c r="G72" s="15">
        <v>4</v>
      </c>
      <c r="H72" s="11">
        <f t="shared" si="11"/>
        <v>122570.6943860849</v>
      </c>
    </row>
    <row r="73" spans="1:8" x14ac:dyDescent="0.3">
      <c r="A73" s="13" t="s">
        <v>38</v>
      </c>
      <c r="B73" s="13">
        <v>168</v>
      </c>
      <c r="C73" s="4">
        <v>18.600000000000001</v>
      </c>
      <c r="D73" s="64">
        <f t="shared" si="8"/>
        <v>4.104167684565397E-2</v>
      </c>
      <c r="E73" s="14">
        <f t="shared" si="9"/>
        <v>30.658132603703514</v>
      </c>
      <c r="F73" s="15">
        <f t="shared" si="10"/>
        <v>49.258132603703515</v>
      </c>
      <c r="G73" s="15">
        <v>4</v>
      </c>
      <c r="H73" s="11">
        <f t="shared" si="11"/>
        <v>120805.57021058287</v>
      </c>
    </row>
    <row r="74" spans="1:8" x14ac:dyDescent="0.3">
      <c r="A74" s="13" t="s">
        <v>25</v>
      </c>
      <c r="B74" s="13">
        <v>198.8</v>
      </c>
      <c r="C74" s="4">
        <v>21.9</v>
      </c>
      <c r="D74" s="64">
        <f t="shared" si="8"/>
        <v>4.8565984267357198E-2</v>
      </c>
      <c r="E74" s="14">
        <f t="shared" si="9"/>
        <v>36.278790247715826</v>
      </c>
      <c r="F74" s="15">
        <f t="shared" si="10"/>
        <v>58.178790247715824</v>
      </c>
      <c r="G74" s="15">
        <v>4</v>
      </c>
      <c r="H74" s="11">
        <f t="shared" si="11"/>
        <v>142683.48308252305</v>
      </c>
    </row>
    <row r="75" spans="1:8" x14ac:dyDescent="0.3">
      <c r="A75" s="13" t="s">
        <v>39</v>
      </c>
      <c r="B75" s="13">
        <v>174.8</v>
      </c>
      <c r="C75" s="4">
        <v>19.2</v>
      </c>
      <c r="D75" s="64">
        <f t="shared" si="8"/>
        <v>4.2702887575120918E-2</v>
      </c>
      <c r="E75" s="14">
        <f t="shared" si="9"/>
        <v>31.899057018615327</v>
      </c>
      <c r="F75" s="15">
        <f t="shared" si="10"/>
        <v>51.099057018615326</v>
      </c>
      <c r="G75" s="15">
        <v>5</v>
      </c>
      <c r="H75" s="11">
        <f t="shared" si="11"/>
        <v>100256.34987052328</v>
      </c>
    </row>
    <row r="76" spans="1:8" x14ac:dyDescent="0.3">
      <c r="A76" s="13" t="s">
        <v>26</v>
      </c>
      <c r="B76" s="13">
        <v>201.3</v>
      </c>
      <c r="C76" s="4">
        <v>22.2</v>
      </c>
      <c r="D76" s="64">
        <f t="shared" si="8"/>
        <v>4.9176723506131816E-2</v>
      </c>
      <c r="E76" s="14">
        <f t="shared" si="9"/>
        <v>36.735012459080465</v>
      </c>
      <c r="F76" s="15">
        <f t="shared" si="10"/>
        <v>58.935012459080468</v>
      </c>
      <c r="G76" s="15">
        <v>4</v>
      </c>
      <c r="H76" s="11">
        <f t="shared" si="11"/>
        <v>144538.11805589485</v>
      </c>
    </row>
    <row r="77" spans="1:8" x14ac:dyDescent="0.3">
      <c r="A77" s="13" t="s">
        <v>27</v>
      </c>
      <c r="B77" s="13">
        <v>190.4</v>
      </c>
      <c r="C77" s="4">
        <v>21.6</v>
      </c>
      <c r="D77" s="64">
        <f t="shared" si="8"/>
        <v>4.65139004250745E-2</v>
      </c>
      <c r="E77" s="14">
        <f t="shared" si="9"/>
        <v>34.745883617530652</v>
      </c>
      <c r="F77" s="15">
        <f t="shared" si="10"/>
        <v>56.345883617530653</v>
      </c>
      <c r="G77" s="15">
        <v>4</v>
      </c>
      <c r="H77" s="11">
        <f t="shared" si="11"/>
        <v>138188.27957199392</v>
      </c>
    </row>
    <row r="78" spans="1:8" x14ac:dyDescent="0.3">
      <c r="A78" s="13" t="s">
        <v>40</v>
      </c>
      <c r="B78" s="13">
        <v>201.3</v>
      </c>
      <c r="C78" s="4">
        <v>22.7</v>
      </c>
      <c r="D78" s="64">
        <f t="shared" si="8"/>
        <v>4.9176723506131816E-2</v>
      </c>
      <c r="E78" s="14">
        <f t="shared" si="9"/>
        <v>36.735012459080465</v>
      </c>
      <c r="F78" s="15">
        <f t="shared" si="10"/>
        <v>59.435012459080468</v>
      </c>
      <c r="G78" s="15">
        <v>6</v>
      </c>
      <c r="H78" s="11">
        <f t="shared" si="11"/>
        <v>97176.245370596575</v>
      </c>
    </row>
    <row r="79" spans="1:8" x14ac:dyDescent="0.3">
      <c r="A79" s="13" t="s">
        <v>28</v>
      </c>
      <c r="B79" s="13">
        <v>201.9</v>
      </c>
      <c r="C79" s="4">
        <v>22.4</v>
      </c>
      <c r="D79" s="64">
        <f t="shared" si="8"/>
        <v>4.9323300923437716E-2</v>
      </c>
      <c r="E79" s="14">
        <f t="shared" si="9"/>
        <v>36.844505789807975</v>
      </c>
      <c r="F79" s="15">
        <f t="shared" si="10"/>
        <v>59.244505789807974</v>
      </c>
      <c r="G79" s="15">
        <v>4</v>
      </c>
      <c r="H79" s="11">
        <f t="shared" si="11"/>
        <v>145297.15044950406</v>
      </c>
    </row>
    <row r="80" spans="1:8" x14ac:dyDescent="0.3">
      <c r="A80" s="13" t="s">
        <v>29</v>
      </c>
      <c r="B80" s="13">
        <v>105.8</v>
      </c>
      <c r="C80" s="4">
        <v>11.7</v>
      </c>
      <c r="D80" s="64">
        <f t="shared" si="8"/>
        <v>2.5846484584941605E-2</v>
      </c>
      <c r="E80" s="14">
        <f t="shared" si="9"/>
        <v>19.307323984951378</v>
      </c>
      <c r="F80" s="15">
        <f t="shared" si="10"/>
        <v>31.007323984951377</v>
      </c>
      <c r="G80" s="15">
        <v>4</v>
      </c>
      <c r="H80" s="11">
        <f t="shared" si="11"/>
        <v>76045.462073093251</v>
      </c>
    </row>
    <row r="81" spans="1:10" x14ac:dyDescent="0.3">
      <c r="A81" s="13" t="s">
        <v>41</v>
      </c>
      <c r="B81" s="13">
        <v>147.80000000000001</v>
      </c>
      <c r="C81" s="4">
        <v>16.3</v>
      </c>
      <c r="D81" s="64">
        <f t="shared" si="8"/>
        <v>3.6106903796355103E-2</v>
      </c>
      <c r="E81" s="14">
        <f t="shared" si="9"/>
        <v>26.971857135877261</v>
      </c>
      <c r="F81" s="15">
        <f t="shared" si="10"/>
        <v>43.271857135877262</v>
      </c>
      <c r="G81" s="15">
        <v>5</v>
      </c>
      <c r="H81" s="11">
        <f t="shared" si="11"/>
        <v>84899.383700591192</v>
      </c>
    </row>
    <row r="82" spans="1:10" x14ac:dyDescent="0.3">
      <c r="A82" s="13" t="s">
        <v>30</v>
      </c>
      <c r="B82" s="13">
        <v>183.7</v>
      </c>
      <c r="C82" s="4">
        <v>20.3</v>
      </c>
      <c r="D82" s="64">
        <f t="shared" si="8"/>
        <v>4.4877119265158534E-2</v>
      </c>
      <c r="E82" s="14">
        <f t="shared" si="9"/>
        <v>33.523208091073428</v>
      </c>
      <c r="F82" s="15">
        <f t="shared" si="10"/>
        <v>53.823208091073425</v>
      </c>
      <c r="G82" s="15">
        <v>4</v>
      </c>
      <c r="H82" s="11">
        <f t="shared" si="11"/>
        <v>132001.41784335757</v>
      </c>
    </row>
    <row r="83" spans="1:10" x14ac:dyDescent="0.3">
      <c r="A83" s="13" t="s">
        <v>42</v>
      </c>
      <c r="B83" s="13">
        <v>123.6</v>
      </c>
      <c r="C83" s="4">
        <v>13.6</v>
      </c>
      <c r="D83" s="64">
        <f t="shared" si="8"/>
        <v>3.0194947965016847E-2</v>
      </c>
      <c r="E83" s="14">
        <f t="shared" si="9"/>
        <v>22.555626129867584</v>
      </c>
      <c r="F83" s="15">
        <f t="shared" si="10"/>
        <v>36.155626129867585</v>
      </c>
      <c r="G83" s="15">
        <v>5</v>
      </c>
      <c r="H83" s="11">
        <f t="shared" si="11"/>
        <v>70937.338466800196</v>
      </c>
    </row>
    <row r="84" spans="1:10" x14ac:dyDescent="0.3">
      <c r="A84" s="13" t="s">
        <v>31</v>
      </c>
      <c r="B84" s="13">
        <v>148.1</v>
      </c>
      <c r="C84" s="4">
        <v>16.3</v>
      </c>
      <c r="D84" s="64">
        <f t="shared" si="8"/>
        <v>3.6180192505008049E-2</v>
      </c>
      <c r="E84" s="14">
        <f t="shared" si="9"/>
        <v>27.026603801241013</v>
      </c>
      <c r="F84" s="15">
        <f t="shared" si="10"/>
        <v>43.326603801241014</v>
      </c>
      <c r="G84" s="15">
        <v>5</v>
      </c>
      <c r="H84" s="11">
        <f t="shared" si="11"/>
        <v>85006.796658034873</v>
      </c>
    </row>
    <row r="85" spans="1:10" x14ac:dyDescent="0.3">
      <c r="A85" s="13" t="s">
        <v>43</v>
      </c>
      <c r="B85" s="13">
        <v>142.30000000000001</v>
      </c>
      <c r="C85" s="4">
        <v>15.8</v>
      </c>
      <c r="D85" s="64">
        <f t="shared" si="8"/>
        <v>3.4763277471050957E-2</v>
      </c>
      <c r="E85" s="14">
        <f t="shared" si="9"/>
        <v>25.968168270875065</v>
      </c>
      <c r="F85" s="15">
        <f t="shared" si="10"/>
        <v>41.768168270875066</v>
      </c>
      <c r="G85" s="15">
        <v>4</v>
      </c>
      <c r="H85" s="11">
        <f t="shared" si="11"/>
        <v>102436.4326843211</v>
      </c>
    </row>
    <row r="86" spans="1:10" x14ac:dyDescent="0.3">
      <c r="A86" s="4"/>
      <c r="B86" s="4">
        <f>SUM(B60:B85)</f>
        <v>4093.400000000001</v>
      </c>
      <c r="C86" s="4">
        <f>SUM(C60:C85)</f>
        <v>454.00000000000006</v>
      </c>
      <c r="D86" s="1">
        <v>747</v>
      </c>
      <c r="E86" s="14">
        <f>SUM(E60:E85)</f>
        <v>746.99999999999989</v>
      </c>
      <c r="F86" s="15">
        <f>SUM(F60:F85)</f>
        <v>1200.9999999999998</v>
      </c>
      <c r="G86" s="15"/>
      <c r="H86" s="15"/>
      <c r="I86" s="1"/>
      <c r="J86" s="1"/>
    </row>
    <row r="88" spans="1:10" x14ac:dyDescent="0.3">
      <c r="A88" s="4"/>
      <c r="B88" s="4" t="s">
        <v>133</v>
      </c>
      <c r="C88" s="4" t="s">
        <v>151</v>
      </c>
      <c r="D88" s="1" t="s">
        <v>152</v>
      </c>
      <c r="E88" s="16" t="s">
        <v>153</v>
      </c>
      <c r="F88" s="1" t="s">
        <v>154</v>
      </c>
    </row>
    <row r="89" spans="1:10" x14ac:dyDescent="0.3">
      <c r="A89" s="4" t="s">
        <v>44</v>
      </c>
      <c r="B89" s="4">
        <v>128.6</v>
      </c>
      <c r="C89" s="13">
        <v>14.2</v>
      </c>
      <c r="D89" s="64">
        <f t="shared" ref="D89:D112" si="12">B89/$B$113</f>
        <v>3.3915290890869774E-2</v>
      </c>
      <c r="E89" s="14">
        <f t="shared" ref="E89:E112" si="13">$D$113*D89</f>
        <v>28.081860857640173</v>
      </c>
      <c r="F89" s="15">
        <f t="shared" ref="F89:F113" si="14">C89+E89</f>
        <v>42.281860857640169</v>
      </c>
      <c r="G89" s="2">
        <v>4</v>
      </c>
      <c r="H89" s="2">
        <f t="shared" ref="H89:H112" si="15">F89*9810/G89</f>
        <v>103696.26375336251</v>
      </c>
    </row>
    <row r="90" spans="1:10" x14ac:dyDescent="0.3">
      <c r="A90" s="4" t="s">
        <v>56</v>
      </c>
      <c r="B90" s="4">
        <v>120.3</v>
      </c>
      <c r="C90" s="13">
        <v>13.3</v>
      </c>
      <c r="D90" s="64">
        <f t="shared" si="12"/>
        <v>3.1726356875362627E-2</v>
      </c>
      <c r="E90" s="14">
        <f t="shared" si="13"/>
        <v>26.269423492800254</v>
      </c>
      <c r="F90" s="15">
        <f t="shared" si="14"/>
        <v>39.569423492800254</v>
      </c>
      <c r="G90" s="2">
        <v>4</v>
      </c>
      <c r="H90" s="2">
        <f t="shared" si="15"/>
        <v>97044.011116092617</v>
      </c>
    </row>
    <row r="91" spans="1:10" x14ac:dyDescent="0.3">
      <c r="A91" s="4" t="s">
        <v>45</v>
      </c>
      <c r="B91" s="4">
        <v>98</v>
      </c>
      <c r="C91" s="13">
        <v>10.8</v>
      </c>
      <c r="D91" s="64">
        <f t="shared" si="12"/>
        <v>2.5845245002373545E-2</v>
      </c>
      <c r="E91" s="14">
        <f t="shared" si="13"/>
        <v>21.399862861965296</v>
      </c>
      <c r="F91" s="15">
        <f t="shared" si="14"/>
        <v>32.1998628619653</v>
      </c>
      <c r="G91" s="1">
        <v>4</v>
      </c>
      <c r="H91" s="2">
        <f t="shared" si="15"/>
        <v>78970.163668969893</v>
      </c>
    </row>
    <row r="92" spans="1:10" x14ac:dyDescent="0.3">
      <c r="A92" s="4" t="s">
        <v>57</v>
      </c>
      <c r="B92" s="4">
        <v>87.3</v>
      </c>
      <c r="C92" s="13">
        <v>9.6</v>
      </c>
      <c r="D92" s="64">
        <f t="shared" si="12"/>
        <v>2.3023366211298066E-2</v>
      </c>
      <c r="E92" s="14">
        <f t="shared" si="13"/>
        <v>19.0633472229548</v>
      </c>
      <c r="F92" s="15">
        <f t="shared" si="14"/>
        <v>28.663347222954798</v>
      </c>
      <c r="G92" s="1">
        <v>4</v>
      </c>
      <c r="H92" s="2">
        <f t="shared" si="15"/>
        <v>70296.859064296645</v>
      </c>
    </row>
    <row r="93" spans="1:10" x14ac:dyDescent="0.3">
      <c r="A93" s="4" t="s">
        <v>46</v>
      </c>
      <c r="B93" s="4">
        <v>200.5</v>
      </c>
      <c r="C93" s="13">
        <v>22.4</v>
      </c>
      <c r="D93" s="64">
        <f t="shared" si="12"/>
        <v>5.2877261458937709E-2</v>
      </c>
      <c r="E93" s="14">
        <f t="shared" si="13"/>
        <v>43.782372488000426</v>
      </c>
      <c r="F93" s="15">
        <f t="shared" si="14"/>
        <v>66.182372488000425</v>
      </c>
      <c r="G93" s="1">
        <v>4</v>
      </c>
      <c r="H93" s="2">
        <f t="shared" si="15"/>
        <v>162312.26852682105</v>
      </c>
    </row>
    <row r="94" spans="1:10" x14ac:dyDescent="0.3">
      <c r="A94" s="4" t="s">
        <v>58</v>
      </c>
      <c r="B94" s="4">
        <v>152.19999999999999</v>
      </c>
      <c r="C94" s="13">
        <v>16.7</v>
      </c>
      <c r="D94" s="64">
        <f t="shared" si="12"/>
        <v>4.0139247850625032E-2</v>
      </c>
      <c r="E94" s="14">
        <f t="shared" si="13"/>
        <v>33.235297220317527</v>
      </c>
      <c r="F94" s="15">
        <f t="shared" si="14"/>
        <v>49.935297220317523</v>
      </c>
      <c r="G94" s="1">
        <v>4</v>
      </c>
      <c r="H94" s="2">
        <f t="shared" si="15"/>
        <v>122466.31643282872</v>
      </c>
    </row>
    <row r="95" spans="1:10" x14ac:dyDescent="0.3">
      <c r="A95" s="4" t="s">
        <v>47</v>
      </c>
      <c r="B95" s="4">
        <v>201.5</v>
      </c>
      <c r="C95" s="13">
        <v>22.3</v>
      </c>
      <c r="D95" s="64">
        <f t="shared" si="12"/>
        <v>5.314098844875785E-2</v>
      </c>
      <c r="E95" s="14">
        <f t="shared" si="13"/>
        <v>44.000738435571499</v>
      </c>
      <c r="F95" s="15">
        <f t="shared" si="14"/>
        <v>66.300738435571503</v>
      </c>
      <c r="G95" s="1">
        <v>4</v>
      </c>
      <c r="H95" s="2">
        <f t="shared" si="15"/>
        <v>162602.56101323912</v>
      </c>
    </row>
    <row r="96" spans="1:10" x14ac:dyDescent="0.3">
      <c r="A96" s="4" t="s">
        <v>59</v>
      </c>
      <c r="B96" s="4">
        <v>112.8</v>
      </c>
      <c r="C96" s="13">
        <v>12.4</v>
      </c>
      <c r="D96" s="64">
        <f t="shared" si="12"/>
        <v>2.9748404451711591E-2</v>
      </c>
      <c r="E96" s="14">
        <f t="shared" si="13"/>
        <v>24.631678886017198</v>
      </c>
      <c r="F96" s="15">
        <f t="shared" si="14"/>
        <v>37.031678886017197</v>
      </c>
      <c r="G96" s="1">
        <v>4</v>
      </c>
      <c r="H96" s="2">
        <f t="shared" si="15"/>
        <v>90820.192467957182</v>
      </c>
    </row>
    <row r="97" spans="1:8" x14ac:dyDescent="0.3">
      <c r="A97" s="4" t="s">
        <v>48</v>
      </c>
      <c r="B97" s="4">
        <v>202.1</v>
      </c>
      <c r="C97" s="13">
        <v>23</v>
      </c>
      <c r="D97" s="64">
        <f t="shared" si="12"/>
        <v>5.3299224642649932E-2</v>
      </c>
      <c r="E97" s="14">
        <f t="shared" si="13"/>
        <v>44.131758004114147</v>
      </c>
      <c r="F97" s="15">
        <f t="shared" si="14"/>
        <v>67.131758004114147</v>
      </c>
      <c r="G97" s="1">
        <v>4</v>
      </c>
      <c r="H97" s="2">
        <f t="shared" si="15"/>
        <v>164640.63650508993</v>
      </c>
    </row>
    <row r="98" spans="1:8" x14ac:dyDescent="0.3">
      <c r="A98" s="4" t="s">
        <v>60</v>
      </c>
      <c r="B98" s="4">
        <v>112.4</v>
      </c>
      <c r="C98" s="13">
        <v>13.2</v>
      </c>
      <c r="D98" s="64">
        <f t="shared" si="12"/>
        <v>2.9642913655783535E-2</v>
      </c>
      <c r="E98" s="14">
        <f t="shared" si="13"/>
        <v>24.544332506988766</v>
      </c>
      <c r="F98" s="15">
        <f t="shared" si="14"/>
        <v>37.744332506988769</v>
      </c>
      <c r="G98" s="1">
        <v>4</v>
      </c>
      <c r="H98" s="2">
        <f t="shared" si="15"/>
        <v>92567.975473389961</v>
      </c>
    </row>
    <row r="99" spans="1:8" x14ac:dyDescent="0.3">
      <c r="A99" s="4" t="s">
        <v>49</v>
      </c>
      <c r="B99" s="4">
        <v>200.7</v>
      </c>
      <c r="C99" s="13">
        <v>22.2</v>
      </c>
      <c r="D99" s="64">
        <f t="shared" si="12"/>
        <v>5.2930006856901739E-2</v>
      </c>
      <c r="E99" s="14">
        <f t="shared" si="13"/>
        <v>43.826045677514642</v>
      </c>
      <c r="F99" s="15">
        <f t="shared" si="14"/>
        <v>66.026045677514645</v>
      </c>
      <c r="G99" s="1">
        <v>4</v>
      </c>
      <c r="H99" s="2">
        <f t="shared" si="15"/>
        <v>161928.87702410467</v>
      </c>
    </row>
    <row r="100" spans="1:8" x14ac:dyDescent="0.3">
      <c r="A100" s="4" t="s">
        <v>61</v>
      </c>
      <c r="B100" s="4">
        <v>111</v>
      </c>
      <c r="C100" s="13">
        <v>12.2</v>
      </c>
      <c r="D100" s="64">
        <f t="shared" si="12"/>
        <v>2.9273695870035341E-2</v>
      </c>
      <c r="E100" s="14">
        <f t="shared" si="13"/>
        <v>24.238620180389262</v>
      </c>
      <c r="F100" s="15">
        <f t="shared" si="14"/>
        <v>36.438620180389265</v>
      </c>
      <c r="G100" s="1">
        <v>4</v>
      </c>
      <c r="H100" s="2">
        <f t="shared" si="15"/>
        <v>89365.715992404672</v>
      </c>
    </row>
    <row r="101" spans="1:8" x14ac:dyDescent="0.3">
      <c r="A101" s="4" t="s">
        <v>50</v>
      </c>
      <c r="B101" s="4">
        <v>188.9</v>
      </c>
      <c r="C101" s="13">
        <v>21.1</v>
      </c>
      <c r="D101" s="64">
        <f t="shared" si="12"/>
        <v>4.9818028377024107E-2</v>
      </c>
      <c r="E101" s="14">
        <f t="shared" si="13"/>
        <v>41.249327496175958</v>
      </c>
      <c r="F101" s="15">
        <f t="shared" si="14"/>
        <v>62.34932749617596</v>
      </c>
      <c r="G101" s="1">
        <v>4</v>
      </c>
      <c r="H101" s="2">
        <f t="shared" si="15"/>
        <v>152911.72568437154</v>
      </c>
    </row>
    <row r="102" spans="1:8" x14ac:dyDescent="0.3">
      <c r="A102" s="4" t="s">
        <v>62</v>
      </c>
      <c r="B102" s="4">
        <v>151.5</v>
      </c>
      <c r="C102" s="13">
        <v>16.8</v>
      </c>
      <c r="D102" s="64">
        <f t="shared" si="12"/>
        <v>3.9954638957750942E-2</v>
      </c>
      <c r="E102" s="14">
        <f t="shared" si="13"/>
        <v>33.082441057017782</v>
      </c>
      <c r="F102" s="15">
        <f t="shared" si="14"/>
        <v>49.882441057017786</v>
      </c>
      <c r="G102" s="1">
        <v>4</v>
      </c>
      <c r="H102" s="2">
        <f t="shared" si="15"/>
        <v>122336.68669233612</v>
      </c>
    </row>
    <row r="103" spans="1:8" x14ac:dyDescent="0.3">
      <c r="A103" s="4" t="s">
        <v>51</v>
      </c>
      <c r="B103" s="4">
        <v>150.9</v>
      </c>
      <c r="C103" s="13">
        <v>16.8</v>
      </c>
      <c r="D103" s="64">
        <f t="shared" si="12"/>
        <v>3.979640276385886E-2</v>
      </c>
      <c r="E103" s="14">
        <f t="shared" si="13"/>
        <v>32.951421488475134</v>
      </c>
      <c r="F103" s="15">
        <f t="shared" si="14"/>
        <v>49.751421488475131</v>
      </c>
      <c r="G103" s="1">
        <v>4</v>
      </c>
      <c r="H103" s="2">
        <f t="shared" si="15"/>
        <v>122015.36120048526</v>
      </c>
    </row>
    <row r="104" spans="1:8" x14ac:dyDescent="0.3">
      <c r="A104" s="4" t="s">
        <v>63</v>
      </c>
      <c r="B104" s="4">
        <v>176.9</v>
      </c>
      <c r="C104" s="4">
        <v>19.899999999999999</v>
      </c>
      <c r="D104" s="64">
        <f t="shared" si="12"/>
        <v>4.6653304499182452E-2</v>
      </c>
      <c r="E104" s="14">
        <f t="shared" si="13"/>
        <v>38.628936125323072</v>
      </c>
      <c r="F104" s="15">
        <f t="shared" si="14"/>
        <v>58.528936125323071</v>
      </c>
      <c r="G104" s="1">
        <v>4</v>
      </c>
      <c r="H104" s="2">
        <f t="shared" si="15"/>
        <v>143542.21584735482</v>
      </c>
    </row>
    <row r="105" spans="1:8" x14ac:dyDescent="0.3">
      <c r="A105" s="4" t="s">
        <v>52</v>
      </c>
      <c r="B105" s="4">
        <v>133.4</v>
      </c>
      <c r="C105" s="4">
        <v>14.7</v>
      </c>
      <c r="D105" s="64">
        <f t="shared" si="12"/>
        <v>3.5181180442006438E-2</v>
      </c>
      <c r="E105" s="14">
        <f t="shared" si="13"/>
        <v>29.130017405981331</v>
      </c>
      <c r="F105" s="15">
        <f t="shared" si="14"/>
        <v>43.83001740598133</v>
      </c>
      <c r="G105" s="1">
        <v>4</v>
      </c>
      <c r="H105" s="2">
        <f t="shared" si="15"/>
        <v>107493.11768816921</v>
      </c>
    </row>
    <row r="106" spans="1:8" x14ac:dyDescent="0.3">
      <c r="A106" s="4" t="s">
        <v>64</v>
      </c>
      <c r="B106" s="4">
        <v>182</v>
      </c>
      <c r="C106" s="4">
        <v>20.2</v>
      </c>
      <c r="D106" s="64">
        <f t="shared" si="12"/>
        <v>4.7998312147265153E-2</v>
      </c>
      <c r="E106" s="14">
        <f t="shared" si="13"/>
        <v>39.742602457935547</v>
      </c>
      <c r="F106" s="15">
        <f t="shared" si="14"/>
        <v>59.94260245793555</v>
      </c>
      <c r="G106" s="1">
        <v>4</v>
      </c>
      <c r="H106" s="2">
        <f t="shared" si="15"/>
        <v>147009.23252808693</v>
      </c>
    </row>
    <row r="107" spans="1:8" x14ac:dyDescent="0.3">
      <c r="A107" s="4" t="s">
        <v>53</v>
      </c>
      <c r="B107" s="4">
        <v>156.69999999999999</v>
      </c>
      <c r="C107" s="4">
        <v>17.8</v>
      </c>
      <c r="D107" s="64">
        <f t="shared" si="12"/>
        <v>4.1326019304815657E-2</v>
      </c>
      <c r="E107" s="14">
        <f t="shared" si="13"/>
        <v>34.217943984387361</v>
      </c>
      <c r="F107" s="15">
        <f t="shared" si="14"/>
        <v>52.017943984387358</v>
      </c>
      <c r="G107" s="1">
        <v>4</v>
      </c>
      <c r="H107" s="2">
        <f t="shared" si="15"/>
        <v>127574.00762171</v>
      </c>
    </row>
    <row r="108" spans="1:8" x14ac:dyDescent="0.3">
      <c r="A108" s="4" t="s">
        <v>65</v>
      </c>
      <c r="B108" s="4">
        <v>179.7</v>
      </c>
      <c r="C108" s="4">
        <v>20.399999999999999</v>
      </c>
      <c r="D108" s="64">
        <f t="shared" si="12"/>
        <v>4.7391740070678832E-2</v>
      </c>
      <c r="E108" s="14">
        <f t="shared" si="13"/>
        <v>39.240360778522074</v>
      </c>
      <c r="F108" s="15">
        <f t="shared" si="14"/>
        <v>59.640360778522073</v>
      </c>
      <c r="G108" s="1">
        <v>4</v>
      </c>
      <c r="H108" s="2">
        <f t="shared" si="15"/>
        <v>146267.9848093254</v>
      </c>
    </row>
    <row r="109" spans="1:8" x14ac:dyDescent="0.3">
      <c r="A109" s="4" t="s">
        <v>54</v>
      </c>
      <c r="B109" s="4">
        <v>162.19999999999999</v>
      </c>
      <c r="C109" s="4">
        <v>17.8</v>
      </c>
      <c r="D109" s="64">
        <f t="shared" si="12"/>
        <v>4.2776517748826418E-2</v>
      </c>
      <c r="E109" s="14">
        <f t="shared" si="13"/>
        <v>35.418956696028275</v>
      </c>
      <c r="F109" s="15">
        <f t="shared" si="14"/>
        <v>53.218956696028272</v>
      </c>
      <c r="G109" s="1">
        <v>5</v>
      </c>
      <c r="H109" s="2">
        <f t="shared" si="15"/>
        <v>104415.59303760747</v>
      </c>
    </row>
    <row r="110" spans="1:8" x14ac:dyDescent="0.3">
      <c r="A110" s="4" t="s">
        <v>66</v>
      </c>
      <c r="B110" s="4">
        <v>202.7</v>
      </c>
      <c r="C110" s="4">
        <v>22.9</v>
      </c>
      <c r="D110" s="64">
        <f t="shared" si="12"/>
        <v>5.3457460836542015E-2</v>
      </c>
      <c r="E110" s="14">
        <f t="shared" si="13"/>
        <v>44.262777572656788</v>
      </c>
      <c r="F110" s="15">
        <f t="shared" si="14"/>
        <v>67.162777572656779</v>
      </c>
      <c r="G110" s="1">
        <v>4</v>
      </c>
      <c r="H110" s="2">
        <f t="shared" si="15"/>
        <v>164716.71199694075</v>
      </c>
    </row>
    <row r="111" spans="1:8" x14ac:dyDescent="0.3">
      <c r="A111" s="4" t="s">
        <v>55</v>
      </c>
      <c r="B111" s="4">
        <v>193.8</v>
      </c>
      <c r="C111" s="4">
        <v>21.6</v>
      </c>
      <c r="D111" s="64">
        <f t="shared" si="12"/>
        <v>5.1110290627142792E-2</v>
      </c>
      <c r="E111" s="14">
        <f t="shared" si="13"/>
        <v>42.319320639274231</v>
      </c>
      <c r="F111" s="15">
        <f t="shared" si="14"/>
        <v>63.919320639274233</v>
      </c>
      <c r="G111" s="1">
        <v>5</v>
      </c>
      <c r="H111" s="2">
        <f t="shared" si="15"/>
        <v>125409.70709425604</v>
      </c>
    </row>
    <row r="112" spans="1:8" x14ac:dyDescent="0.3">
      <c r="A112" s="4" t="s">
        <v>67</v>
      </c>
      <c r="B112" s="4">
        <v>185.7</v>
      </c>
      <c r="C112" s="4">
        <v>20.5</v>
      </c>
      <c r="D112" s="64">
        <f t="shared" si="12"/>
        <v>4.897410200959966E-2</v>
      </c>
      <c r="E112" s="14">
        <f t="shared" si="13"/>
        <v>40.550556463948517</v>
      </c>
      <c r="F112" s="15">
        <f t="shared" si="14"/>
        <v>61.050556463948517</v>
      </c>
      <c r="G112" s="1">
        <v>5</v>
      </c>
      <c r="H112" s="2">
        <f t="shared" si="15"/>
        <v>119781.19178226699</v>
      </c>
    </row>
    <row r="113" spans="1:8" x14ac:dyDescent="0.3">
      <c r="A113" s="4"/>
      <c r="B113" s="4">
        <f>SUM(B89:B112)</f>
        <v>3791.7999999999997</v>
      </c>
      <c r="C113" s="4">
        <f>SUM(C89:C112)</f>
        <v>422.79999999999995</v>
      </c>
      <c r="D113" s="1">
        <v>828</v>
      </c>
      <c r="E113" s="65">
        <f>SUM(E89:E112)</f>
        <v>828.00000000000011</v>
      </c>
      <c r="F113" s="15">
        <f t="shared" si="14"/>
        <v>1250.8000000000002</v>
      </c>
      <c r="H113" s="2"/>
    </row>
    <row r="114" spans="1:8" x14ac:dyDescent="0.3">
      <c r="A114" s="1"/>
      <c r="B114" s="1"/>
      <c r="F114" s="15"/>
    </row>
  </sheetData>
  <mergeCells count="1">
    <mergeCell ref="H13:N13"/>
  </mergeCells>
  <phoneticPr fontId="6" type="noConversion"/>
  <pageMargins left="0.70833333333333304" right="0.70833333333333304" top="0.74791666666666701" bottom="0.74791666666666701" header="0.51180555555555496" footer="0.51180555555555496"/>
  <pageSetup paperSize="9" scale="140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6.5" x14ac:dyDescent="0.3"/>
  <cols>
    <col min="1" max="1" width="13.5" customWidth="1"/>
    <col min="2" max="1025" width="8.625" customWidth="1"/>
  </cols>
  <sheetData/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67"/>
  <sheetViews>
    <sheetView zoomScaleNormal="100" workbookViewId="0">
      <selection activeCell="D22" sqref="D22"/>
    </sheetView>
  </sheetViews>
  <sheetFormatPr defaultRowHeight="16.5" x14ac:dyDescent="0.3"/>
  <cols>
    <col min="1" max="1" width="11.625" customWidth="1"/>
    <col min="2" max="2" width="12.625" customWidth="1"/>
    <col min="3" max="6" width="12.625" style="1" customWidth="1"/>
    <col min="7" max="7" width="12.375" style="1" customWidth="1"/>
    <col min="8" max="9" width="11.625" customWidth="1"/>
    <col min="10" max="14" width="10.75" customWidth="1"/>
    <col min="15" max="1025" width="8.625" customWidth="1"/>
  </cols>
  <sheetData>
    <row r="2" spans="1:16" x14ac:dyDescent="0.3">
      <c r="A2" s="19" t="s">
        <v>68</v>
      </c>
      <c r="B2" s="1"/>
      <c r="E2" s="20" t="s">
        <v>155</v>
      </c>
      <c r="H2" s="1"/>
      <c r="I2" t="s">
        <v>156</v>
      </c>
    </row>
    <row r="3" spans="1:16" x14ac:dyDescent="0.3">
      <c r="A3" s="24" t="s">
        <v>70</v>
      </c>
      <c r="B3" s="24" t="s">
        <v>71</v>
      </c>
      <c r="C3" s="24" t="s">
        <v>72</v>
      </c>
      <c r="E3" s="66" t="s">
        <v>76</v>
      </c>
      <c r="F3" s="66" t="s">
        <v>79</v>
      </c>
      <c r="G3" s="24" t="s">
        <v>82</v>
      </c>
      <c r="H3" s="24" t="s">
        <v>157</v>
      </c>
      <c r="I3" s="24" t="s">
        <v>77</v>
      </c>
      <c r="J3" s="24" t="s">
        <v>80</v>
      </c>
      <c r="K3" s="24" t="s">
        <v>88</v>
      </c>
    </row>
    <row r="4" spans="1:16" x14ac:dyDescent="0.3">
      <c r="A4" s="13" t="s">
        <v>150</v>
      </c>
      <c r="B4" s="25">
        <v>35.94</v>
      </c>
      <c r="C4" s="53">
        <v>0</v>
      </c>
      <c r="E4" s="53"/>
      <c r="F4" s="4">
        <v>436.6</v>
      </c>
      <c r="G4" s="4"/>
      <c r="H4" s="5"/>
      <c r="I4" s="5"/>
      <c r="J4" s="5"/>
      <c r="K4" s="5"/>
    </row>
    <row r="5" spans="1:16" x14ac:dyDescent="0.3">
      <c r="A5" s="13" t="s">
        <v>149</v>
      </c>
      <c r="B5" s="25">
        <v>33.340000000000003</v>
      </c>
      <c r="C5" s="53">
        <v>0</v>
      </c>
      <c r="E5" s="53"/>
      <c r="F5" s="4"/>
      <c r="G5" s="4"/>
      <c r="H5" s="5"/>
      <c r="I5" s="5"/>
      <c r="J5" s="5"/>
      <c r="K5" s="5"/>
    </row>
    <row r="6" spans="1:16" x14ac:dyDescent="0.3">
      <c r="A6" s="4" t="s">
        <v>148</v>
      </c>
      <c r="B6" s="25">
        <v>31.07</v>
      </c>
      <c r="C6" s="10">
        <f t="shared" ref="C6:C11" si="0">K6</f>
        <v>1156.44</v>
      </c>
      <c r="E6" s="53">
        <v>267.8</v>
      </c>
      <c r="F6" s="4"/>
      <c r="G6" s="4">
        <v>52.04</v>
      </c>
      <c r="H6" s="5"/>
      <c r="I6" s="4">
        <v>200</v>
      </c>
      <c r="J6" s="4">
        <v>200</v>
      </c>
      <c r="K6" s="67">
        <f>SUM(E4:J6)</f>
        <v>1156.44</v>
      </c>
    </row>
    <row r="7" spans="1:16" x14ac:dyDescent="0.3">
      <c r="A7" s="4" t="s">
        <v>85</v>
      </c>
      <c r="B7" s="25">
        <v>28.8</v>
      </c>
      <c r="C7" s="10">
        <f>K7</f>
        <v>730.5</v>
      </c>
      <c r="E7" s="10"/>
      <c r="F7" s="4"/>
      <c r="G7" s="4"/>
      <c r="H7" s="4">
        <f>730.5</f>
        <v>730.5</v>
      </c>
      <c r="I7" s="5"/>
      <c r="J7" s="5"/>
      <c r="K7" s="67">
        <f>SUM(E7:J7)</f>
        <v>730.5</v>
      </c>
    </row>
    <row r="8" spans="1:16" x14ac:dyDescent="0.3">
      <c r="A8" s="4" t="s">
        <v>83</v>
      </c>
      <c r="B8" s="25">
        <v>26.4</v>
      </c>
      <c r="C8" s="10">
        <f>K8</f>
        <v>467.5</v>
      </c>
      <c r="E8" s="10"/>
      <c r="F8" s="4"/>
      <c r="G8" s="4"/>
      <c r="H8" s="4">
        <f>467.5</f>
        <v>467.5</v>
      </c>
      <c r="I8" s="5"/>
      <c r="J8" s="5"/>
      <c r="K8" s="67">
        <f>SUM(E8:J8)</f>
        <v>467.5</v>
      </c>
    </row>
    <row r="9" spans="1:16" x14ac:dyDescent="0.3">
      <c r="A9" s="4" t="s">
        <v>81</v>
      </c>
      <c r="B9" s="25">
        <v>23.68</v>
      </c>
      <c r="C9" s="10">
        <f t="shared" si="0"/>
        <v>519.4</v>
      </c>
      <c r="E9" s="10"/>
      <c r="F9" s="4"/>
      <c r="G9" s="4">
        <v>422.7</v>
      </c>
      <c r="H9" s="4">
        <f>96.7</f>
        <v>96.7</v>
      </c>
      <c r="I9" s="5"/>
      <c r="J9" s="5"/>
      <c r="K9" s="67">
        <f>SUM(E9:J9)</f>
        <v>519.4</v>
      </c>
      <c r="P9">
        <f>15-8</f>
        <v>7</v>
      </c>
    </row>
    <row r="10" spans="1:16" x14ac:dyDescent="0.3">
      <c r="A10" s="4" t="s">
        <v>78</v>
      </c>
      <c r="B10" s="25">
        <v>20.94</v>
      </c>
      <c r="C10" s="10">
        <f t="shared" si="0"/>
        <v>572.20000000000005</v>
      </c>
      <c r="E10" s="10"/>
      <c r="F10" s="4"/>
      <c r="G10" s="4"/>
      <c r="H10" s="4">
        <f>572.2</f>
        <v>572.20000000000005</v>
      </c>
      <c r="I10" s="5"/>
      <c r="J10" s="5"/>
      <c r="K10" s="67">
        <f>SUM(E10:J10)</f>
        <v>572.20000000000005</v>
      </c>
    </row>
    <row r="11" spans="1:16" x14ac:dyDescent="0.3">
      <c r="A11" s="4" t="s">
        <v>75</v>
      </c>
      <c r="B11" s="25">
        <v>17.945</v>
      </c>
      <c r="C11" s="68">
        <f t="shared" si="0"/>
        <v>541.30000000000007</v>
      </c>
      <c r="E11" s="10"/>
      <c r="F11" s="4"/>
      <c r="G11" s="4">
        <v>454.1</v>
      </c>
      <c r="H11" s="4">
        <f>87.2</f>
        <v>87.2</v>
      </c>
      <c r="I11" s="5"/>
      <c r="J11" s="5"/>
      <c r="K11" s="67">
        <f>SUM(E11:J11)</f>
        <v>541.30000000000007</v>
      </c>
    </row>
    <row r="12" spans="1:16" x14ac:dyDescent="0.3">
      <c r="A12" s="4" t="s">
        <v>147</v>
      </c>
      <c r="B12" s="25">
        <f>14400/1000</f>
        <v>14.4</v>
      </c>
      <c r="C12" s="4">
        <v>0</v>
      </c>
      <c r="E12" s="10"/>
      <c r="F12" s="4"/>
      <c r="G12" s="4"/>
      <c r="H12" s="5"/>
      <c r="I12" s="5"/>
      <c r="J12" s="5"/>
      <c r="K12" s="5"/>
    </row>
    <row r="13" spans="1:16" x14ac:dyDescent="0.3">
      <c r="A13" s="4" t="s">
        <v>146</v>
      </c>
      <c r="B13" s="25">
        <f>10750/1000</f>
        <v>10.75</v>
      </c>
      <c r="C13" s="4">
        <v>0</v>
      </c>
      <c r="D13" s="98"/>
      <c r="E13" s="10"/>
      <c r="F13" s="4"/>
      <c r="G13" s="4"/>
      <c r="H13" s="5"/>
      <c r="I13" s="5"/>
      <c r="J13" s="5"/>
      <c r="K13" s="5"/>
    </row>
    <row r="14" spans="1:16" x14ac:dyDescent="0.3">
      <c r="A14" s="4" t="s">
        <v>145</v>
      </c>
      <c r="B14" s="25">
        <f>7810/1000</f>
        <v>7.81</v>
      </c>
      <c r="C14" s="4">
        <v>0</v>
      </c>
      <c r="E14" s="10"/>
      <c r="F14" s="4"/>
      <c r="G14" s="4"/>
      <c r="H14" s="5"/>
      <c r="I14" s="5"/>
      <c r="J14" s="5"/>
      <c r="K14" s="5"/>
    </row>
    <row r="15" spans="1:16" x14ac:dyDescent="0.3">
      <c r="A15" s="4" t="s">
        <v>144</v>
      </c>
      <c r="B15" s="25">
        <f>4920/1000</f>
        <v>4.92</v>
      </c>
      <c r="C15" s="4">
        <v>0</v>
      </c>
      <c r="E15" s="10"/>
      <c r="F15" s="4"/>
      <c r="G15" s="4"/>
      <c r="H15" s="5"/>
      <c r="I15" s="5"/>
      <c r="J15" s="5"/>
      <c r="K15" s="5"/>
    </row>
    <row r="16" spans="1:16" x14ac:dyDescent="0.3">
      <c r="A16" s="4" t="s">
        <v>143</v>
      </c>
      <c r="B16" s="25">
        <f>2100/1000</f>
        <v>2.1</v>
      </c>
      <c r="C16" s="4">
        <v>0</v>
      </c>
      <c r="E16" s="10"/>
      <c r="F16" s="4"/>
      <c r="G16" s="4"/>
      <c r="H16" s="5"/>
      <c r="I16" s="5"/>
      <c r="J16" s="5"/>
      <c r="K16" s="5"/>
    </row>
    <row r="17" spans="1:14" x14ac:dyDescent="0.3">
      <c r="A17" s="24" t="s">
        <v>88</v>
      </c>
      <c r="B17" s="24"/>
      <c r="C17" s="24">
        <f>SUM(C6:C16)</f>
        <v>3987.34</v>
      </c>
      <c r="E17" s="24"/>
      <c r="F17" s="24"/>
      <c r="G17" s="24"/>
      <c r="H17" s="24"/>
      <c r="I17" s="24"/>
      <c r="J17" s="24"/>
      <c r="K17" s="24"/>
    </row>
    <row r="19" spans="1:14" x14ac:dyDescent="0.3">
      <c r="A19" s="19" t="s">
        <v>90</v>
      </c>
    </row>
    <row r="20" spans="1:14" x14ac:dyDescent="0.3">
      <c r="A20" s="48" t="s">
        <v>91</v>
      </c>
      <c r="B20" s="24" t="s">
        <v>92</v>
      </c>
      <c r="C20" s="24" t="s">
        <v>93</v>
      </c>
      <c r="D20" s="24" t="s">
        <v>95</v>
      </c>
      <c r="E20" s="24" t="s">
        <v>96</v>
      </c>
      <c r="F20" s="24" t="s">
        <v>97</v>
      </c>
      <c r="G20" s="127" t="s">
        <v>98</v>
      </c>
      <c r="H20" s="127"/>
      <c r="I20" s="127"/>
      <c r="J20" s="127"/>
      <c r="K20" s="127"/>
      <c r="L20" s="127"/>
      <c r="M20" s="127"/>
      <c r="N20" s="127"/>
    </row>
    <row r="21" spans="1:14" x14ac:dyDescent="0.3">
      <c r="A21" s="5" t="s">
        <v>99</v>
      </c>
      <c r="B21" s="4">
        <v>8.7200000000000006</v>
      </c>
      <c r="C21" s="4">
        <v>1.48</v>
      </c>
      <c r="D21" s="10">
        <v>12983</v>
      </c>
      <c r="E21" s="10">
        <v>12806</v>
      </c>
      <c r="F21" s="10">
        <f t="shared" ref="F21:F32" si="1">D21+E21</f>
        <v>25789</v>
      </c>
      <c r="G21" s="49" t="s">
        <v>100</v>
      </c>
      <c r="H21" s="50"/>
      <c r="I21" s="50"/>
      <c r="J21" s="50"/>
      <c r="K21" s="50"/>
      <c r="L21" s="50"/>
      <c r="M21" s="50"/>
      <c r="N21" s="51"/>
    </row>
    <row r="22" spans="1:14" x14ac:dyDescent="0.3">
      <c r="A22" s="5" t="s">
        <v>101</v>
      </c>
      <c r="B22" s="4">
        <v>8.7200000000000006</v>
      </c>
      <c r="C22" s="4">
        <v>1.97</v>
      </c>
      <c r="D22" s="10">
        <v>12983</v>
      </c>
      <c r="E22" s="10">
        <v>12806</v>
      </c>
      <c r="F22" s="10">
        <f t="shared" si="1"/>
        <v>25789</v>
      </c>
      <c r="G22" s="49" t="s">
        <v>102</v>
      </c>
      <c r="H22" s="50"/>
      <c r="I22" s="50"/>
      <c r="J22" s="50"/>
      <c r="K22" s="50"/>
      <c r="L22" s="50"/>
      <c r="M22" s="50"/>
      <c r="N22" s="51"/>
    </row>
    <row r="23" spans="1:14" x14ac:dyDescent="0.3">
      <c r="A23" s="5" t="s">
        <v>103</v>
      </c>
      <c r="B23" s="4">
        <v>8.7200000000000006</v>
      </c>
      <c r="C23" s="4">
        <v>1.48</v>
      </c>
      <c r="D23" s="10">
        <v>12983</v>
      </c>
      <c r="E23" s="10">
        <v>12806</v>
      </c>
      <c r="F23" s="10">
        <f t="shared" si="1"/>
        <v>25789</v>
      </c>
      <c r="G23" s="49" t="s">
        <v>104</v>
      </c>
      <c r="H23" s="50"/>
      <c r="I23" s="50"/>
      <c r="J23" s="50"/>
      <c r="K23" s="50"/>
      <c r="L23" s="50"/>
      <c r="M23" s="50"/>
      <c r="N23" s="51"/>
    </row>
    <row r="24" spans="1:14" x14ac:dyDescent="0.3">
      <c r="A24" s="5" t="s">
        <v>105</v>
      </c>
      <c r="B24" s="4">
        <v>8.7200000000000006</v>
      </c>
      <c r="C24" s="4">
        <v>1.76</v>
      </c>
      <c r="D24" s="10">
        <v>12983</v>
      </c>
      <c r="E24" s="10">
        <v>12806</v>
      </c>
      <c r="F24" s="10">
        <f t="shared" si="1"/>
        <v>25789</v>
      </c>
      <c r="G24" s="49" t="s">
        <v>106</v>
      </c>
      <c r="H24" s="50"/>
      <c r="I24" s="50"/>
      <c r="J24" s="50"/>
      <c r="K24" s="50"/>
      <c r="L24" s="50"/>
      <c r="M24" s="50"/>
      <c r="N24" s="51"/>
    </row>
    <row r="25" spans="1:14" x14ac:dyDescent="0.3">
      <c r="A25" s="5" t="s">
        <v>107</v>
      </c>
      <c r="B25" s="4">
        <v>8.7200000000000006</v>
      </c>
      <c r="C25" s="4">
        <v>2.1</v>
      </c>
      <c r="D25" s="10">
        <v>12983</v>
      </c>
      <c r="E25" s="10">
        <v>12806</v>
      </c>
      <c r="F25" s="10">
        <f t="shared" si="1"/>
        <v>25789</v>
      </c>
      <c r="G25" s="49" t="s">
        <v>108</v>
      </c>
      <c r="H25" s="50"/>
      <c r="I25" s="50"/>
      <c r="J25" s="50"/>
      <c r="K25" s="50"/>
      <c r="L25" s="50"/>
      <c r="M25" s="50"/>
      <c r="N25" s="51"/>
    </row>
    <row r="26" spans="1:14" x14ac:dyDescent="0.3">
      <c r="A26" s="5" t="s">
        <v>158</v>
      </c>
      <c r="B26" s="4">
        <v>8.15</v>
      </c>
      <c r="C26" s="4">
        <v>3.07</v>
      </c>
      <c r="D26" s="10">
        <v>12983</v>
      </c>
      <c r="E26" s="10">
        <v>10370</v>
      </c>
      <c r="F26" s="10">
        <f t="shared" si="1"/>
        <v>23353</v>
      </c>
      <c r="G26" s="49" t="s">
        <v>159</v>
      </c>
      <c r="H26" s="50"/>
      <c r="I26" s="50"/>
      <c r="J26" s="50"/>
      <c r="K26" s="50"/>
      <c r="L26" s="50"/>
      <c r="M26" s="50"/>
      <c r="N26" s="51"/>
    </row>
    <row r="27" spans="1:14" x14ac:dyDescent="0.3">
      <c r="A27" s="5" t="s">
        <v>109</v>
      </c>
      <c r="B27" s="4">
        <v>8.7200000000000006</v>
      </c>
      <c r="C27" s="4">
        <v>1.87</v>
      </c>
      <c r="D27" s="10">
        <v>12983</v>
      </c>
      <c r="E27" s="10">
        <v>12806</v>
      </c>
      <c r="F27" s="10">
        <f t="shared" si="1"/>
        <v>25789</v>
      </c>
      <c r="G27" s="49" t="s">
        <v>110</v>
      </c>
      <c r="H27" s="50"/>
      <c r="I27" s="50"/>
      <c r="J27" s="50"/>
      <c r="K27" s="50"/>
      <c r="L27" s="50"/>
      <c r="M27" s="50"/>
      <c r="N27" s="51"/>
    </row>
    <row r="28" spans="1:14" x14ac:dyDescent="0.3">
      <c r="A28" s="5" t="s">
        <v>111</v>
      </c>
      <c r="B28" s="4">
        <v>8.7200000000000006</v>
      </c>
      <c r="C28" s="4">
        <v>2.0299999999999998</v>
      </c>
      <c r="D28" s="10">
        <v>12983</v>
      </c>
      <c r="E28" s="10">
        <v>12806</v>
      </c>
      <c r="F28" s="10">
        <f t="shared" si="1"/>
        <v>25789</v>
      </c>
      <c r="G28" s="49" t="s">
        <v>112</v>
      </c>
      <c r="H28" s="50"/>
      <c r="I28" s="50"/>
      <c r="J28" s="50"/>
      <c r="K28" s="50"/>
      <c r="L28" s="50"/>
      <c r="M28" s="50"/>
      <c r="N28" s="51"/>
    </row>
    <row r="29" spans="1:14" x14ac:dyDescent="0.3">
      <c r="A29" s="5" t="s">
        <v>113</v>
      </c>
      <c r="B29" s="4">
        <v>8.7200000000000006</v>
      </c>
      <c r="C29" s="4">
        <v>1.98</v>
      </c>
      <c r="D29" s="10">
        <v>12983</v>
      </c>
      <c r="E29" s="10">
        <v>12806</v>
      </c>
      <c r="F29" s="10">
        <f t="shared" si="1"/>
        <v>25789</v>
      </c>
      <c r="G29" s="49" t="s">
        <v>114</v>
      </c>
      <c r="H29" s="50"/>
      <c r="I29" s="50"/>
      <c r="J29" s="50"/>
      <c r="K29" s="50"/>
      <c r="L29" s="50"/>
      <c r="M29" s="50"/>
      <c r="N29" s="51"/>
    </row>
    <row r="30" spans="1:14" x14ac:dyDescent="0.3">
      <c r="A30" s="5" t="s">
        <v>115</v>
      </c>
      <c r="B30" s="4">
        <v>8.7100000000000009</v>
      </c>
      <c r="C30" s="4">
        <v>1.96</v>
      </c>
      <c r="D30" s="10">
        <v>12983</v>
      </c>
      <c r="E30" s="10">
        <v>12750</v>
      </c>
      <c r="F30" s="10">
        <f t="shared" si="1"/>
        <v>25733</v>
      </c>
      <c r="G30" s="49" t="s">
        <v>116</v>
      </c>
      <c r="H30" s="50"/>
      <c r="I30" s="50"/>
      <c r="J30" s="50"/>
      <c r="K30" s="50"/>
      <c r="L30" s="50"/>
      <c r="M30" s="50"/>
      <c r="N30" s="51"/>
    </row>
    <row r="31" spans="1:14" x14ac:dyDescent="0.3">
      <c r="A31" s="5" t="s">
        <v>117</v>
      </c>
      <c r="B31" s="4">
        <v>8.7200000000000006</v>
      </c>
      <c r="C31" s="4">
        <v>1.87</v>
      </c>
      <c r="D31" s="10">
        <v>12983</v>
      </c>
      <c r="E31" s="10">
        <v>12806</v>
      </c>
      <c r="F31" s="10">
        <f t="shared" si="1"/>
        <v>25789</v>
      </c>
      <c r="G31" s="49" t="s">
        <v>118</v>
      </c>
      <c r="H31" s="50"/>
      <c r="I31" s="50"/>
      <c r="J31" s="50"/>
      <c r="K31" s="50"/>
      <c r="L31" s="50"/>
      <c r="M31" s="50"/>
      <c r="N31" s="51"/>
    </row>
    <row r="32" spans="1:14" x14ac:dyDescent="0.3">
      <c r="A32" s="5" t="s">
        <v>119</v>
      </c>
      <c r="B32" s="4">
        <v>8.66</v>
      </c>
      <c r="C32" s="4">
        <v>2.02</v>
      </c>
      <c r="D32" s="10">
        <v>12983</v>
      </c>
      <c r="E32" s="10">
        <v>12552</v>
      </c>
      <c r="F32" s="10">
        <f t="shared" si="1"/>
        <v>25535</v>
      </c>
      <c r="G32" s="49" t="s">
        <v>120</v>
      </c>
      <c r="H32" s="50"/>
      <c r="I32" s="50"/>
      <c r="J32" s="50"/>
      <c r="K32" s="50"/>
      <c r="L32" s="50"/>
      <c r="M32" s="50"/>
      <c r="N32" s="51"/>
    </row>
    <row r="34" spans="1:14" x14ac:dyDescent="0.3">
      <c r="A34" s="58" t="s">
        <v>134</v>
      </c>
    </row>
    <row r="35" spans="1:14" x14ac:dyDescent="0.3">
      <c r="A35" s="24" t="s">
        <v>70</v>
      </c>
      <c r="B35" s="24" t="s">
        <v>122</v>
      </c>
      <c r="C35" s="24" t="s">
        <v>123</v>
      </c>
      <c r="D35" s="24" t="s">
        <v>124</v>
      </c>
      <c r="E35" s="24" t="s">
        <v>125</v>
      </c>
      <c r="F35" s="24" t="s">
        <v>126</v>
      </c>
      <c r="G35" s="24" t="s">
        <v>160</v>
      </c>
      <c r="H35" s="24" t="s">
        <v>127</v>
      </c>
      <c r="I35" s="24" t="s">
        <v>128</v>
      </c>
      <c r="J35" s="24" t="s">
        <v>129</v>
      </c>
      <c r="K35" s="24" t="s">
        <v>130</v>
      </c>
      <c r="L35" s="24" t="s">
        <v>131</v>
      </c>
      <c r="M35" s="24" t="s">
        <v>132</v>
      </c>
      <c r="N35" s="69" t="s">
        <v>161</v>
      </c>
    </row>
    <row r="36" spans="1:14" x14ac:dyDescent="0.3">
      <c r="A36" s="13" t="s">
        <v>150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52">
        <f t="shared" ref="N36:N48" si="2">MAX(B36:M36)</f>
        <v>0</v>
      </c>
    </row>
    <row r="37" spans="1:14" x14ac:dyDescent="0.3">
      <c r="A37" s="13" t="s">
        <v>149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52">
        <f t="shared" si="2"/>
        <v>0</v>
      </c>
    </row>
    <row r="38" spans="1:14" x14ac:dyDescent="0.3">
      <c r="A38" s="4" t="s">
        <v>148</v>
      </c>
      <c r="B38" s="4">
        <v>421</v>
      </c>
      <c r="C38" s="4">
        <v>375</v>
      </c>
      <c r="D38" s="4">
        <v>335</v>
      </c>
      <c r="E38" s="13">
        <v>375</v>
      </c>
      <c r="F38" s="4">
        <v>375</v>
      </c>
      <c r="G38" s="13">
        <v>375</v>
      </c>
      <c r="H38" s="13">
        <v>375</v>
      </c>
      <c r="I38" s="13">
        <v>375</v>
      </c>
      <c r="J38" s="13">
        <v>375</v>
      </c>
      <c r="K38" s="13">
        <v>375</v>
      </c>
      <c r="L38" s="13">
        <v>375</v>
      </c>
      <c r="M38" s="13">
        <v>375</v>
      </c>
      <c r="N38" s="52">
        <f t="shared" si="2"/>
        <v>421</v>
      </c>
    </row>
    <row r="39" spans="1:14" x14ac:dyDescent="0.3">
      <c r="A39" s="4" t="s">
        <v>85</v>
      </c>
      <c r="B39" s="4">
        <v>392</v>
      </c>
      <c r="C39" s="4">
        <v>351</v>
      </c>
      <c r="D39" s="4">
        <v>351</v>
      </c>
      <c r="E39" s="13">
        <v>351</v>
      </c>
      <c r="F39" s="4">
        <v>351</v>
      </c>
      <c r="G39" s="13">
        <v>351</v>
      </c>
      <c r="H39" s="13">
        <v>351</v>
      </c>
      <c r="I39" s="13">
        <v>351</v>
      </c>
      <c r="J39" s="13">
        <v>351</v>
      </c>
      <c r="K39" s="13">
        <v>351</v>
      </c>
      <c r="L39" s="13">
        <v>351</v>
      </c>
      <c r="M39" s="13">
        <v>351</v>
      </c>
      <c r="N39" s="52">
        <f t="shared" si="2"/>
        <v>392</v>
      </c>
    </row>
    <row r="40" spans="1:14" x14ac:dyDescent="0.3">
      <c r="A40" s="4" t="s">
        <v>83</v>
      </c>
      <c r="B40" s="4">
        <v>581</v>
      </c>
      <c r="C40" s="4">
        <v>536</v>
      </c>
      <c r="D40" s="4">
        <v>536</v>
      </c>
      <c r="E40" s="13">
        <v>536</v>
      </c>
      <c r="F40" s="4">
        <v>536</v>
      </c>
      <c r="G40" s="13">
        <v>536</v>
      </c>
      <c r="H40" s="13">
        <v>536</v>
      </c>
      <c r="I40" s="13">
        <v>536</v>
      </c>
      <c r="J40" s="13">
        <v>536</v>
      </c>
      <c r="K40" s="13">
        <v>536</v>
      </c>
      <c r="L40" s="13">
        <v>536</v>
      </c>
      <c r="M40" s="13">
        <v>536</v>
      </c>
      <c r="N40" s="52">
        <f t="shared" si="2"/>
        <v>581</v>
      </c>
    </row>
    <row r="41" spans="1:14" x14ac:dyDescent="0.3">
      <c r="A41" s="4" t="s">
        <v>81</v>
      </c>
      <c r="B41" s="4">
        <v>565</v>
      </c>
      <c r="C41" s="4">
        <v>537</v>
      </c>
      <c r="D41" s="4">
        <v>536</v>
      </c>
      <c r="E41" s="5"/>
      <c r="F41" s="4"/>
      <c r="G41" s="5"/>
      <c r="H41" s="4">
        <v>537</v>
      </c>
      <c r="I41" s="4">
        <v>537</v>
      </c>
      <c r="J41" s="4">
        <v>537</v>
      </c>
      <c r="K41" s="4">
        <v>537</v>
      </c>
      <c r="L41" s="4">
        <v>537</v>
      </c>
      <c r="M41" s="4">
        <v>537</v>
      </c>
      <c r="N41" s="52">
        <f t="shared" si="2"/>
        <v>565</v>
      </c>
    </row>
    <row r="42" spans="1:14" x14ac:dyDescent="0.3">
      <c r="A42" s="4" t="s">
        <v>78</v>
      </c>
      <c r="B42" s="4">
        <v>463</v>
      </c>
      <c r="C42" s="4">
        <v>420</v>
      </c>
      <c r="D42" s="4">
        <v>439</v>
      </c>
      <c r="E42" s="13">
        <v>77</v>
      </c>
      <c r="F42" s="4">
        <v>77</v>
      </c>
      <c r="G42" s="5"/>
      <c r="H42" s="4">
        <v>420</v>
      </c>
      <c r="I42" s="4">
        <v>420</v>
      </c>
      <c r="J42" s="4">
        <v>420</v>
      </c>
      <c r="K42" s="4">
        <v>420</v>
      </c>
      <c r="L42" s="4">
        <v>420</v>
      </c>
      <c r="M42" s="4">
        <v>420</v>
      </c>
      <c r="N42" s="52">
        <f t="shared" si="2"/>
        <v>463</v>
      </c>
    </row>
    <row r="43" spans="1:14" x14ac:dyDescent="0.3">
      <c r="A43" s="4" t="s">
        <v>75</v>
      </c>
      <c r="B43" s="4">
        <v>527</v>
      </c>
      <c r="C43" s="4">
        <v>485</v>
      </c>
      <c r="D43" s="4">
        <v>493</v>
      </c>
      <c r="E43" s="13"/>
      <c r="F43" s="4"/>
      <c r="G43" s="5"/>
      <c r="H43" s="4">
        <v>485</v>
      </c>
      <c r="I43" s="4">
        <v>485</v>
      </c>
      <c r="J43" s="4">
        <v>485</v>
      </c>
      <c r="K43" s="4">
        <v>485</v>
      </c>
      <c r="L43" s="4">
        <v>485</v>
      </c>
      <c r="M43" s="4">
        <v>485</v>
      </c>
      <c r="N43" s="52">
        <f t="shared" si="2"/>
        <v>527</v>
      </c>
    </row>
    <row r="44" spans="1:14" x14ac:dyDescent="0.3">
      <c r="A44" s="4" t="s">
        <v>147</v>
      </c>
      <c r="B44" s="4">
        <v>494</v>
      </c>
      <c r="C44" s="4">
        <v>460</v>
      </c>
      <c r="D44" s="4">
        <v>464</v>
      </c>
      <c r="E44" s="13">
        <v>105</v>
      </c>
      <c r="F44" s="4">
        <v>105</v>
      </c>
      <c r="G44" s="5"/>
      <c r="H44" s="4">
        <v>460</v>
      </c>
      <c r="I44" s="4">
        <v>460</v>
      </c>
      <c r="J44" s="4">
        <v>460</v>
      </c>
      <c r="K44" s="4">
        <v>460</v>
      </c>
      <c r="L44" s="4">
        <v>460</v>
      </c>
      <c r="M44" s="4">
        <v>460</v>
      </c>
      <c r="N44" s="52">
        <f t="shared" si="2"/>
        <v>494</v>
      </c>
    </row>
    <row r="45" spans="1:14" x14ac:dyDescent="0.3">
      <c r="A45" s="4" t="s">
        <v>146</v>
      </c>
      <c r="B45" s="4">
        <v>339</v>
      </c>
      <c r="C45" s="4">
        <v>317</v>
      </c>
      <c r="D45" s="4">
        <v>323</v>
      </c>
      <c r="E45" s="13">
        <v>323</v>
      </c>
      <c r="F45" s="4"/>
      <c r="G45" s="5"/>
      <c r="H45" s="4">
        <v>317</v>
      </c>
      <c r="I45" s="4">
        <v>113</v>
      </c>
      <c r="J45" s="4">
        <v>317</v>
      </c>
      <c r="K45" s="4">
        <v>204</v>
      </c>
      <c r="L45" s="4">
        <v>317</v>
      </c>
      <c r="M45" s="5"/>
      <c r="N45" s="52">
        <f t="shared" si="2"/>
        <v>339</v>
      </c>
    </row>
    <row r="46" spans="1:14" x14ac:dyDescent="0.3">
      <c r="A46" s="4" t="s">
        <v>145</v>
      </c>
      <c r="B46" s="4">
        <v>297</v>
      </c>
      <c r="C46" s="4">
        <v>290</v>
      </c>
      <c r="D46" s="4">
        <v>293</v>
      </c>
      <c r="E46" s="13">
        <v>293</v>
      </c>
      <c r="F46" s="4"/>
      <c r="G46" s="5"/>
      <c r="H46" s="4">
        <v>290</v>
      </c>
      <c r="I46" s="4">
        <v>113</v>
      </c>
      <c r="J46" s="4">
        <v>290</v>
      </c>
      <c r="K46" s="4">
        <v>177</v>
      </c>
      <c r="L46" s="4">
        <v>290</v>
      </c>
      <c r="M46" s="5"/>
      <c r="N46" s="52">
        <f t="shared" si="2"/>
        <v>297</v>
      </c>
    </row>
    <row r="47" spans="1:14" x14ac:dyDescent="0.3">
      <c r="A47" s="4" t="s">
        <v>144</v>
      </c>
      <c r="B47" s="4">
        <v>175</v>
      </c>
      <c r="C47" s="4">
        <v>171</v>
      </c>
      <c r="D47" s="4">
        <v>172</v>
      </c>
      <c r="E47" s="13">
        <v>172</v>
      </c>
      <c r="F47" s="4"/>
      <c r="G47" s="5"/>
      <c r="H47" s="4">
        <v>82</v>
      </c>
      <c r="I47" s="4">
        <v>82</v>
      </c>
      <c r="J47" s="4">
        <v>89</v>
      </c>
      <c r="K47" s="4">
        <v>89</v>
      </c>
      <c r="L47" s="4"/>
      <c r="M47" s="5"/>
      <c r="N47" s="52">
        <f t="shared" si="2"/>
        <v>175</v>
      </c>
    </row>
    <row r="48" spans="1:14" x14ac:dyDescent="0.3">
      <c r="A48" s="4" t="s">
        <v>143</v>
      </c>
      <c r="B48" s="4">
        <v>64</v>
      </c>
      <c r="C48" s="4">
        <v>60</v>
      </c>
      <c r="D48" s="4">
        <v>60</v>
      </c>
      <c r="E48" s="13">
        <v>60</v>
      </c>
      <c r="F48" s="4"/>
      <c r="G48" s="5"/>
      <c r="H48" s="4"/>
      <c r="I48" s="4"/>
      <c r="J48" s="4">
        <v>60</v>
      </c>
      <c r="K48" s="4">
        <v>60</v>
      </c>
      <c r="L48" s="4"/>
      <c r="M48" s="5"/>
      <c r="N48" s="52">
        <f t="shared" si="2"/>
        <v>64</v>
      </c>
    </row>
    <row r="49" spans="1:14" x14ac:dyDescent="0.3">
      <c r="A49" s="24" t="s">
        <v>135</v>
      </c>
      <c r="B49" s="24">
        <f t="shared" ref="B49:N49" si="3">SUM(B38:B48)</f>
        <v>4318</v>
      </c>
      <c r="C49" s="24">
        <f t="shared" si="3"/>
        <v>4002</v>
      </c>
      <c r="D49" s="24">
        <f t="shared" si="3"/>
        <v>4002</v>
      </c>
      <c r="E49" s="24">
        <f t="shared" si="3"/>
        <v>2292</v>
      </c>
      <c r="F49" s="24">
        <f t="shared" si="3"/>
        <v>1444</v>
      </c>
      <c r="G49" s="24">
        <f t="shared" si="3"/>
        <v>1262</v>
      </c>
      <c r="H49" s="24">
        <f t="shared" si="3"/>
        <v>3853</v>
      </c>
      <c r="I49" s="24">
        <f t="shared" si="3"/>
        <v>3472</v>
      </c>
      <c r="J49" s="24">
        <f t="shared" si="3"/>
        <v>3920</v>
      </c>
      <c r="K49" s="24">
        <f t="shared" si="3"/>
        <v>3694</v>
      </c>
      <c r="L49" s="24">
        <f t="shared" si="3"/>
        <v>3771</v>
      </c>
      <c r="M49" s="24">
        <f t="shared" si="3"/>
        <v>3164</v>
      </c>
      <c r="N49" s="24">
        <f t="shared" si="3"/>
        <v>4318</v>
      </c>
    </row>
    <row r="50" spans="1:14" x14ac:dyDescent="0.3">
      <c r="B50" s="1"/>
    </row>
    <row r="51" spans="1:14" x14ac:dyDescent="0.3">
      <c r="A51" s="19" t="s">
        <v>121</v>
      </c>
      <c r="B51" s="1"/>
    </row>
    <row r="52" spans="1:14" x14ac:dyDescent="0.3">
      <c r="A52" s="24" t="s">
        <v>70</v>
      </c>
      <c r="B52" s="24" t="s">
        <v>122</v>
      </c>
      <c r="C52" s="24" t="s">
        <v>123</v>
      </c>
      <c r="D52" s="24" t="s">
        <v>124</v>
      </c>
      <c r="E52" s="24" t="s">
        <v>125</v>
      </c>
      <c r="F52" s="24" t="s">
        <v>126</v>
      </c>
      <c r="G52" s="24" t="s">
        <v>160</v>
      </c>
      <c r="H52" s="24" t="s">
        <v>127</v>
      </c>
      <c r="I52" s="24" t="s">
        <v>128</v>
      </c>
      <c r="J52" s="24" t="s">
        <v>129</v>
      </c>
      <c r="K52" s="24" t="s">
        <v>130</v>
      </c>
      <c r="L52" s="24" t="s">
        <v>131</v>
      </c>
      <c r="M52" s="24" t="s">
        <v>132</v>
      </c>
      <c r="N52" s="69" t="s">
        <v>161</v>
      </c>
    </row>
    <row r="53" spans="1:14" x14ac:dyDescent="0.3">
      <c r="A53" s="13" t="s">
        <v>150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2">
        <f t="shared" ref="N53:N65" si="4">MAX(B53:M53)</f>
        <v>0</v>
      </c>
    </row>
    <row r="54" spans="1:14" x14ac:dyDescent="0.3">
      <c r="A54" s="13" t="s">
        <v>149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  <c r="N54" s="52">
        <f t="shared" si="4"/>
        <v>0</v>
      </c>
    </row>
    <row r="55" spans="1:14" x14ac:dyDescent="0.3">
      <c r="A55" s="4" t="s">
        <v>148</v>
      </c>
      <c r="B55" s="10">
        <v>673</v>
      </c>
      <c r="C55" s="10">
        <v>577</v>
      </c>
      <c r="D55" s="10">
        <v>515</v>
      </c>
      <c r="E55" s="10">
        <v>577</v>
      </c>
      <c r="F55" s="10">
        <v>577</v>
      </c>
      <c r="G55" s="53">
        <v>577</v>
      </c>
      <c r="H55" s="53">
        <v>577</v>
      </c>
      <c r="I55" s="53">
        <v>577</v>
      </c>
      <c r="J55" s="53">
        <v>577</v>
      </c>
      <c r="K55" s="53">
        <v>577</v>
      </c>
      <c r="L55" s="53">
        <v>577</v>
      </c>
      <c r="M55" s="53">
        <v>577</v>
      </c>
      <c r="N55" s="52">
        <f t="shared" si="4"/>
        <v>673</v>
      </c>
    </row>
    <row r="56" spans="1:14" x14ac:dyDescent="0.3">
      <c r="A56" s="4" t="s">
        <v>85</v>
      </c>
      <c r="B56" s="10">
        <v>626</v>
      </c>
      <c r="C56" s="10">
        <v>540</v>
      </c>
      <c r="D56" s="10">
        <v>540</v>
      </c>
      <c r="E56" s="10">
        <v>540</v>
      </c>
      <c r="F56" s="10">
        <v>540</v>
      </c>
      <c r="G56" s="53">
        <v>540</v>
      </c>
      <c r="H56" s="53">
        <v>540</v>
      </c>
      <c r="I56" s="53">
        <v>540</v>
      </c>
      <c r="J56" s="53">
        <v>540</v>
      </c>
      <c r="K56" s="53">
        <v>540</v>
      </c>
      <c r="L56" s="53">
        <v>540</v>
      </c>
      <c r="M56" s="53">
        <v>540</v>
      </c>
      <c r="N56" s="52">
        <f t="shared" si="4"/>
        <v>626</v>
      </c>
    </row>
    <row r="57" spans="1:14" x14ac:dyDescent="0.3">
      <c r="A57" s="4" t="s">
        <v>83</v>
      </c>
      <c r="B57" s="10">
        <v>930</v>
      </c>
      <c r="C57" s="10">
        <v>825</v>
      </c>
      <c r="D57" s="10">
        <v>825</v>
      </c>
      <c r="E57" s="10">
        <v>825</v>
      </c>
      <c r="F57" s="10">
        <v>825</v>
      </c>
      <c r="G57" s="53">
        <v>825</v>
      </c>
      <c r="H57" s="53">
        <v>825</v>
      </c>
      <c r="I57" s="53">
        <v>825</v>
      </c>
      <c r="J57" s="53">
        <v>825</v>
      </c>
      <c r="K57" s="53">
        <v>825</v>
      </c>
      <c r="L57" s="53">
        <v>825</v>
      </c>
      <c r="M57" s="53">
        <v>825</v>
      </c>
      <c r="N57" s="52">
        <f t="shared" si="4"/>
        <v>930</v>
      </c>
    </row>
    <row r="58" spans="1:14" x14ac:dyDescent="0.3">
      <c r="A58" s="4" t="s">
        <v>81</v>
      </c>
      <c r="B58" s="10">
        <v>905</v>
      </c>
      <c r="C58" s="10">
        <v>828</v>
      </c>
      <c r="D58" s="10">
        <v>1020</v>
      </c>
      <c r="E58" s="10">
        <v>0</v>
      </c>
      <c r="F58" s="10">
        <v>0</v>
      </c>
      <c r="G58" s="10">
        <v>0</v>
      </c>
      <c r="H58" s="10">
        <v>828</v>
      </c>
      <c r="I58" s="10">
        <v>828</v>
      </c>
      <c r="J58" s="53">
        <v>828</v>
      </c>
      <c r="K58" s="53">
        <v>828</v>
      </c>
      <c r="L58" s="53">
        <v>828</v>
      </c>
      <c r="M58" s="53">
        <v>828</v>
      </c>
      <c r="N58" s="52">
        <f t="shared" si="4"/>
        <v>1020</v>
      </c>
    </row>
    <row r="59" spans="1:14" x14ac:dyDescent="0.3">
      <c r="A59" s="4" t="s">
        <v>78</v>
      </c>
      <c r="B59" s="10">
        <v>741</v>
      </c>
      <c r="C59" s="10">
        <v>648</v>
      </c>
      <c r="D59" s="10">
        <v>834</v>
      </c>
      <c r="E59" s="10">
        <v>1386</v>
      </c>
      <c r="F59" s="10">
        <v>1386</v>
      </c>
      <c r="G59" s="10">
        <v>0</v>
      </c>
      <c r="H59" s="10">
        <v>648</v>
      </c>
      <c r="I59" s="10">
        <v>648</v>
      </c>
      <c r="J59" s="53">
        <v>648</v>
      </c>
      <c r="K59" s="53">
        <v>648</v>
      </c>
      <c r="L59" s="53">
        <v>648</v>
      </c>
      <c r="M59" s="53">
        <v>648</v>
      </c>
      <c r="N59" s="52">
        <f t="shared" si="4"/>
        <v>1386</v>
      </c>
    </row>
    <row r="60" spans="1:14" x14ac:dyDescent="0.3">
      <c r="A60" s="4" t="s">
        <v>75</v>
      </c>
      <c r="B60" s="10">
        <v>843</v>
      </c>
      <c r="C60" s="10">
        <v>747</v>
      </c>
      <c r="D60" s="10">
        <v>936</v>
      </c>
      <c r="E60" s="10">
        <v>0</v>
      </c>
      <c r="F60" s="10">
        <v>0</v>
      </c>
      <c r="G60" s="10">
        <v>0</v>
      </c>
      <c r="H60" s="10">
        <v>747</v>
      </c>
      <c r="I60" s="10">
        <v>747</v>
      </c>
      <c r="J60" s="53">
        <v>747</v>
      </c>
      <c r="K60" s="53">
        <v>747</v>
      </c>
      <c r="L60" s="53">
        <v>747</v>
      </c>
      <c r="M60" s="53">
        <v>747</v>
      </c>
      <c r="N60" s="52">
        <f t="shared" si="4"/>
        <v>936</v>
      </c>
    </row>
    <row r="61" spans="1:14" x14ac:dyDescent="0.3">
      <c r="A61" s="4" t="s">
        <v>147</v>
      </c>
      <c r="B61" s="10">
        <v>791</v>
      </c>
      <c r="C61" s="10">
        <v>707</v>
      </c>
      <c r="D61" s="10">
        <v>882</v>
      </c>
      <c r="E61" s="10">
        <v>1890</v>
      </c>
      <c r="F61" s="10">
        <v>1890</v>
      </c>
      <c r="G61" s="10">
        <v>0</v>
      </c>
      <c r="H61" s="10">
        <v>707</v>
      </c>
      <c r="I61" s="10">
        <v>707</v>
      </c>
      <c r="J61" s="53">
        <v>707</v>
      </c>
      <c r="K61" s="53">
        <v>707</v>
      </c>
      <c r="L61" s="53">
        <v>707</v>
      </c>
      <c r="M61" s="53">
        <v>707</v>
      </c>
      <c r="N61" s="52">
        <f t="shared" si="4"/>
        <v>1890</v>
      </c>
    </row>
    <row r="62" spans="1:14" x14ac:dyDescent="0.3">
      <c r="A62" s="4" t="s">
        <v>146</v>
      </c>
      <c r="B62" s="10">
        <v>543</v>
      </c>
      <c r="C62" s="10">
        <v>488</v>
      </c>
      <c r="D62" s="10">
        <v>614</v>
      </c>
      <c r="E62" s="10">
        <v>614</v>
      </c>
      <c r="F62" s="10">
        <v>0</v>
      </c>
      <c r="G62" s="10">
        <v>0</v>
      </c>
      <c r="H62" s="10">
        <v>488</v>
      </c>
      <c r="I62" s="10">
        <v>174</v>
      </c>
      <c r="J62" s="53">
        <v>488</v>
      </c>
      <c r="K62" s="53">
        <v>314</v>
      </c>
      <c r="L62" s="53">
        <v>488</v>
      </c>
      <c r="M62" s="10">
        <v>0</v>
      </c>
      <c r="N62" s="52">
        <f t="shared" si="4"/>
        <v>614</v>
      </c>
    </row>
    <row r="63" spans="1:14" x14ac:dyDescent="0.3">
      <c r="A63" s="4" t="s">
        <v>145</v>
      </c>
      <c r="B63" s="10">
        <v>475</v>
      </c>
      <c r="C63" s="10">
        <v>447</v>
      </c>
      <c r="D63" s="10">
        <v>556</v>
      </c>
      <c r="E63" s="10">
        <v>556</v>
      </c>
      <c r="F63" s="10">
        <v>0</v>
      </c>
      <c r="G63" s="10">
        <v>0</v>
      </c>
      <c r="H63" s="10">
        <v>447</v>
      </c>
      <c r="I63" s="10">
        <v>174</v>
      </c>
      <c r="J63" s="53">
        <v>447</v>
      </c>
      <c r="K63" s="53">
        <v>273</v>
      </c>
      <c r="L63" s="53">
        <v>447</v>
      </c>
      <c r="M63" s="10">
        <v>0</v>
      </c>
      <c r="N63" s="52">
        <f t="shared" si="4"/>
        <v>556</v>
      </c>
    </row>
    <row r="64" spans="1:14" x14ac:dyDescent="0.3">
      <c r="A64" s="4" t="s">
        <v>144</v>
      </c>
      <c r="B64" s="10">
        <v>280</v>
      </c>
      <c r="C64" s="10">
        <v>263</v>
      </c>
      <c r="D64" s="10">
        <v>327</v>
      </c>
      <c r="E64" s="10">
        <v>327</v>
      </c>
      <c r="F64" s="10">
        <v>0</v>
      </c>
      <c r="G64" s="10">
        <v>0</v>
      </c>
      <c r="H64" s="10">
        <v>126</v>
      </c>
      <c r="I64" s="10">
        <v>126</v>
      </c>
      <c r="J64" s="53">
        <v>137</v>
      </c>
      <c r="K64" s="53">
        <v>137</v>
      </c>
      <c r="L64" s="10">
        <v>0</v>
      </c>
      <c r="M64" s="10">
        <v>0</v>
      </c>
      <c r="N64" s="52">
        <f t="shared" si="4"/>
        <v>327</v>
      </c>
    </row>
    <row r="65" spans="1:14" x14ac:dyDescent="0.3">
      <c r="A65" s="4" t="s">
        <v>143</v>
      </c>
      <c r="B65" s="10">
        <v>102</v>
      </c>
      <c r="C65" s="10">
        <v>92</v>
      </c>
      <c r="D65" s="10">
        <v>114</v>
      </c>
      <c r="E65" s="10">
        <v>114</v>
      </c>
      <c r="F65" s="10">
        <v>0</v>
      </c>
      <c r="G65" s="10">
        <v>0</v>
      </c>
      <c r="H65" s="10">
        <v>0</v>
      </c>
      <c r="I65" s="10">
        <v>0</v>
      </c>
      <c r="J65" s="53">
        <v>92</v>
      </c>
      <c r="K65" s="53">
        <v>92</v>
      </c>
      <c r="L65" s="10">
        <v>0</v>
      </c>
      <c r="M65" s="10">
        <v>0</v>
      </c>
      <c r="N65" s="52">
        <f t="shared" si="4"/>
        <v>114</v>
      </c>
    </row>
    <row r="66" spans="1:14" x14ac:dyDescent="0.3">
      <c r="A66" s="24" t="s">
        <v>88</v>
      </c>
      <c r="B66" s="24">
        <f t="shared" ref="B66:N66" si="5">SUM(B55:B65)</f>
        <v>6909</v>
      </c>
      <c r="C66" s="45">
        <f t="shared" si="5"/>
        <v>6162</v>
      </c>
      <c r="D66" s="45">
        <f t="shared" si="5"/>
        <v>7163</v>
      </c>
      <c r="E66" s="45">
        <f t="shared" si="5"/>
        <v>6829</v>
      </c>
      <c r="F66" s="45">
        <f t="shared" si="5"/>
        <v>5218</v>
      </c>
      <c r="G66" s="45">
        <f t="shared" si="5"/>
        <v>1942</v>
      </c>
      <c r="H66" s="45">
        <f t="shared" si="5"/>
        <v>5933</v>
      </c>
      <c r="I66" s="45">
        <f t="shared" si="5"/>
        <v>5346</v>
      </c>
      <c r="J66" s="45">
        <f t="shared" si="5"/>
        <v>6036</v>
      </c>
      <c r="K66" s="45">
        <f t="shared" si="5"/>
        <v>5688</v>
      </c>
      <c r="L66" s="45">
        <f t="shared" si="5"/>
        <v>5807</v>
      </c>
      <c r="M66" s="45">
        <f t="shared" si="5"/>
        <v>4872</v>
      </c>
      <c r="N66" s="24">
        <f t="shared" si="5"/>
        <v>9072</v>
      </c>
    </row>
    <row r="67" spans="1:14" x14ac:dyDescent="0.3">
      <c r="B67" s="1"/>
    </row>
  </sheetData>
  <mergeCells count="1">
    <mergeCell ref="G20:N20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6"/>
  <sheetViews>
    <sheetView tabSelected="1" topLeftCell="A208" zoomScaleNormal="100" workbookViewId="0">
      <selection activeCell="B212" sqref="B212"/>
    </sheetView>
  </sheetViews>
  <sheetFormatPr defaultRowHeight="16.5" x14ac:dyDescent="0.3"/>
  <cols>
    <col min="1" max="5" width="8.625" customWidth="1"/>
    <col min="6" max="6" width="85.125" customWidth="1"/>
    <col min="7" max="10" width="8.625" customWidth="1"/>
    <col min="11" max="11" width="10.25" customWidth="1"/>
    <col min="12" max="1025" width="8.625" customWidth="1"/>
  </cols>
  <sheetData>
    <row r="1" spans="1:17" x14ac:dyDescent="0.3">
      <c r="A1" s="58" t="s">
        <v>181</v>
      </c>
      <c r="D1" t="s">
        <v>182</v>
      </c>
      <c r="F1" t="s">
        <v>183</v>
      </c>
      <c r="L1" s="1" t="s">
        <v>184</v>
      </c>
      <c r="N1" s="1" t="s">
        <v>185</v>
      </c>
      <c r="Q1" s="1" t="s">
        <v>186</v>
      </c>
    </row>
    <row r="2" spans="1:17" x14ac:dyDescent="0.3">
      <c r="A2" s="18">
        <v>-11</v>
      </c>
      <c r="B2" s="18">
        <f>B4-700</f>
        <v>-7700</v>
      </c>
      <c r="D2">
        <v>1</v>
      </c>
      <c r="E2">
        <f t="shared" ref="E2:E33" si="0">VLOOKUP(D2,$A$2:$B$236,2,0)</f>
        <v>700</v>
      </c>
      <c r="F2" t="str">
        <f t="shared" ref="F2:F33" si="1">"sgm_const_plane_point_vector("&amp;""""&amp;D2&amp;""""&amp;","&amp;"""["&amp;E2&amp;",0,0]"""&amp;","&amp;"""&lt;1,0,0&gt;"""&amp;","&amp;"sgm_create_plane_po_created_ids )"</f>
        <v>sgm_const_plane_point_vector("1","[700,0,0]","&lt;1,0,0&gt;",sgm_create_plane_po_created_ids )</v>
      </c>
      <c r="K2" s="1" t="s">
        <v>187</v>
      </c>
      <c r="L2" s="1">
        <v>2600</v>
      </c>
      <c r="M2">
        <f>SUM($L2:L$15)</f>
        <v>35940</v>
      </c>
      <c r="N2" s="1">
        <v>2600</v>
      </c>
      <c r="O2">
        <f>SUM($N2:N$15)</f>
        <v>36040</v>
      </c>
      <c r="Q2">
        <f t="shared" ref="Q2:Q15" si="2">-M2+O2</f>
        <v>100</v>
      </c>
    </row>
    <row r="3" spans="1:17" x14ac:dyDescent="0.3">
      <c r="A3" s="92">
        <f>A4+(B3-B4)/700</f>
        <v>-10.642857142857142</v>
      </c>
      <c r="B3" s="18">
        <v>-7450</v>
      </c>
      <c r="D3">
        <v>5</v>
      </c>
      <c r="E3">
        <f t="shared" si="0"/>
        <v>3500</v>
      </c>
      <c r="F3" t="str">
        <f t="shared" si="1"/>
        <v>sgm_const_plane_point_vector("5","[3500,0,0]","&lt;1,0,0&gt;",sgm_create_plane_po_created_ids )</v>
      </c>
      <c r="K3" s="1" t="s">
        <v>188</v>
      </c>
      <c r="L3" s="1">
        <v>2270</v>
      </c>
      <c r="M3">
        <f>SUM($L3:L$15)</f>
        <v>33340</v>
      </c>
      <c r="N3" s="1">
        <v>2270</v>
      </c>
      <c r="O3">
        <f>SUM($N3:N$15)</f>
        <v>33440</v>
      </c>
      <c r="Q3">
        <f t="shared" si="2"/>
        <v>100</v>
      </c>
    </row>
    <row r="4" spans="1:17" x14ac:dyDescent="0.3">
      <c r="A4" s="18">
        <v>-10</v>
      </c>
      <c r="B4" s="18">
        <f t="shared" ref="B4:B13" si="3">B5-700</f>
        <v>-7000</v>
      </c>
      <c r="D4">
        <v>9</v>
      </c>
      <c r="E4">
        <f t="shared" si="0"/>
        <v>6300</v>
      </c>
      <c r="F4" t="str">
        <f t="shared" si="1"/>
        <v>sgm_const_plane_point_vector("9","[6300,0,0]","&lt;1,0,0&gt;",sgm_create_plane_po_created_ids )</v>
      </c>
      <c r="K4" s="1">
        <v>11</v>
      </c>
      <c r="L4" s="1">
        <v>2270</v>
      </c>
      <c r="M4">
        <f>SUM($L4:L$15)</f>
        <v>31070</v>
      </c>
      <c r="N4" s="1">
        <v>2270</v>
      </c>
      <c r="O4">
        <f>SUM($N4:N$15)</f>
        <v>31170</v>
      </c>
      <c r="Q4">
        <f t="shared" si="2"/>
        <v>100</v>
      </c>
    </row>
    <row r="5" spans="1:17" x14ac:dyDescent="0.3">
      <c r="A5" s="18">
        <v>-9</v>
      </c>
      <c r="B5" s="18">
        <f t="shared" si="3"/>
        <v>-6300</v>
      </c>
      <c r="D5">
        <v>13</v>
      </c>
      <c r="E5">
        <f t="shared" si="0"/>
        <v>9100</v>
      </c>
      <c r="F5" t="str">
        <f t="shared" si="1"/>
        <v>sgm_const_plane_point_vector("13","[9100,0,0]","&lt;1,0,0&gt;",sgm_create_plane_po_created_ids )</v>
      </c>
      <c r="K5" s="1">
        <v>10</v>
      </c>
      <c r="L5" s="1">
        <v>2400</v>
      </c>
      <c r="M5">
        <f>SUM($L5:L$15)</f>
        <v>28800</v>
      </c>
      <c r="N5" s="1">
        <v>2500</v>
      </c>
      <c r="O5">
        <f>SUM($N5:N$15)</f>
        <v>28900</v>
      </c>
      <c r="Q5">
        <f t="shared" si="2"/>
        <v>100</v>
      </c>
    </row>
    <row r="6" spans="1:17" x14ac:dyDescent="0.3">
      <c r="A6" s="18">
        <v>-8</v>
      </c>
      <c r="B6" s="18">
        <f t="shared" si="3"/>
        <v>-5600</v>
      </c>
      <c r="D6">
        <v>15</v>
      </c>
      <c r="E6">
        <f t="shared" si="0"/>
        <v>10500</v>
      </c>
      <c r="F6" t="str">
        <f t="shared" si="1"/>
        <v>sgm_const_plane_point_vector("15","[10500,0,0]","&lt;1,0,0&gt;",sgm_create_plane_po_created_ids )</v>
      </c>
      <c r="K6" s="1">
        <v>9</v>
      </c>
      <c r="L6" s="1">
        <v>2720</v>
      </c>
      <c r="M6">
        <f>SUM($L6:L$15)</f>
        <v>26400</v>
      </c>
      <c r="N6" s="1">
        <v>2720</v>
      </c>
      <c r="O6">
        <f>SUM($N6:N$15)</f>
        <v>26400</v>
      </c>
      <c r="Q6">
        <f t="shared" si="2"/>
        <v>0</v>
      </c>
    </row>
    <row r="7" spans="1:17" x14ac:dyDescent="0.3">
      <c r="A7" s="18">
        <v>-7</v>
      </c>
      <c r="B7" s="18">
        <f t="shared" si="3"/>
        <v>-4900</v>
      </c>
      <c r="D7">
        <v>17</v>
      </c>
      <c r="E7">
        <f t="shared" si="0"/>
        <v>12140</v>
      </c>
      <c r="F7" t="str">
        <f t="shared" si="1"/>
        <v>sgm_const_plane_point_vector("17","[12140,0,0]","&lt;1,0,0&gt;",sgm_create_plane_po_created_ids )</v>
      </c>
      <c r="K7" s="1">
        <v>8</v>
      </c>
      <c r="L7" s="1">
        <v>2740</v>
      </c>
      <c r="M7">
        <f>SUM($L7:L$15)</f>
        <v>23680</v>
      </c>
      <c r="N7" s="1">
        <v>2740</v>
      </c>
      <c r="O7">
        <f>SUM($N7:N$15)</f>
        <v>23680</v>
      </c>
      <c r="Q7">
        <f t="shared" si="2"/>
        <v>0</v>
      </c>
    </row>
    <row r="8" spans="1:17" x14ac:dyDescent="0.3">
      <c r="A8" s="18">
        <v>-6</v>
      </c>
      <c r="B8" s="18">
        <f t="shared" si="3"/>
        <v>-4200</v>
      </c>
      <c r="D8">
        <v>21</v>
      </c>
      <c r="E8">
        <f t="shared" si="0"/>
        <v>15420</v>
      </c>
      <c r="F8" t="str">
        <f t="shared" si="1"/>
        <v>sgm_const_plane_point_vector("21","[15420,0,0]","&lt;1,0,0&gt;",sgm_create_plane_po_created_ids )</v>
      </c>
      <c r="K8" s="1">
        <v>7</v>
      </c>
      <c r="L8" s="1">
        <v>2995</v>
      </c>
      <c r="M8">
        <f>SUM($L8:L$15)</f>
        <v>20940</v>
      </c>
      <c r="N8" s="1">
        <v>2995</v>
      </c>
      <c r="O8">
        <f>SUM($N8:N$15)</f>
        <v>20940</v>
      </c>
      <c r="Q8">
        <f t="shared" si="2"/>
        <v>0</v>
      </c>
    </row>
    <row r="9" spans="1:17" x14ac:dyDescent="0.3">
      <c r="A9" s="18">
        <v>-5</v>
      </c>
      <c r="B9" s="18">
        <f t="shared" si="3"/>
        <v>-3500</v>
      </c>
      <c r="D9">
        <v>25</v>
      </c>
      <c r="E9">
        <f t="shared" si="0"/>
        <v>18700</v>
      </c>
      <c r="F9" t="str">
        <f t="shared" si="1"/>
        <v>sgm_const_plane_point_vector("25","[18700,0,0]","&lt;1,0,0&gt;",sgm_create_plane_po_created_ids )</v>
      </c>
      <c r="K9" s="1">
        <v>6</v>
      </c>
      <c r="L9" s="1">
        <v>3545</v>
      </c>
      <c r="M9">
        <f>SUM($L9:L$15)</f>
        <v>17945</v>
      </c>
      <c r="N9" s="1">
        <v>3545</v>
      </c>
      <c r="O9">
        <f>SUM($N9:N$15)</f>
        <v>17945</v>
      </c>
      <c r="Q9">
        <f t="shared" si="2"/>
        <v>0</v>
      </c>
    </row>
    <row r="10" spans="1:17" x14ac:dyDescent="0.3">
      <c r="A10" s="18">
        <v>-4</v>
      </c>
      <c r="B10" s="18">
        <f t="shared" si="3"/>
        <v>-2800</v>
      </c>
      <c r="D10">
        <v>29</v>
      </c>
      <c r="E10">
        <f t="shared" si="0"/>
        <v>21980</v>
      </c>
      <c r="F10" t="str">
        <f t="shared" si="1"/>
        <v>sgm_const_plane_point_vector("29","[21980,0,0]","&lt;1,0,0&gt;",sgm_create_plane_po_created_ids )</v>
      </c>
      <c r="K10" s="1">
        <v>5</v>
      </c>
      <c r="L10" s="1">
        <v>3650</v>
      </c>
      <c r="M10">
        <f>SUM($L10:L$15)</f>
        <v>14400</v>
      </c>
      <c r="N10" s="1">
        <v>3650</v>
      </c>
      <c r="O10">
        <f>SUM($N10:N$15)</f>
        <v>14400</v>
      </c>
      <c r="Q10">
        <f t="shared" si="2"/>
        <v>0</v>
      </c>
    </row>
    <row r="11" spans="1:17" x14ac:dyDescent="0.3">
      <c r="A11" s="18">
        <v>-3</v>
      </c>
      <c r="B11" s="18">
        <f t="shared" si="3"/>
        <v>-2100</v>
      </c>
      <c r="D11">
        <v>33</v>
      </c>
      <c r="E11">
        <f t="shared" si="0"/>
        <v>25260</v>
      </c>
      <c r="F11" t="str">
        <f t="shared" si="1"/>
        <v>sgm_const_plane_point_vector("33","[25260,0,0]","&lt;1,0,0&gt;",sgm_create_plane_po_created_ids )</v>
      </c>
      <c r="K11" s="1">
        <v>4</v>
      </c>
      <c r="L11" s="1">
        <v>2940</v>
      </c>
      <c r="M11">
        <f>SUM($L11:L$15)</f>
        <v>10750</v>
      </c>
      <c r="N11" s="1">
        <v>2940</v>
      </c>
      <c r="O11">
        <f>SUM($N11:N$15)</f>
        <v>10750</v>
      </c>
      <c r="Q11">
        <f t="shared" si="2"/>
        <v>0</v>
      </c>
    </row>
    <row r="12" spans="1:17" x14ac:dyDescent="0.3">
      <c r="A12" s="18">
        <v>-2</v>
      </c>
      <c r="B12" s="18">
        <f t="shared" si="3"/>
        <v>-1400</v>
      </c>
      <c r="D12">
        <v>37</v>
      </c>
      <c r="E12">
        <f t="shared" si="0"/>
        <v>28540</v>
      </c>
      <c r="F12" t="str">
        <f t="shared" si="1"/>
        <v>sgm_const_plane_point_vector("37","[28540,0,0]","&lt;1,0,0&gt;",sgm_create_plane_po_created_ids )</v>
      </c>
      <c r="K12" s="1">
        <v>3</v>
      </c>
      <c r="L12" s="1">
        <v>2890</v>
      </c>
      <c r="M12">
        <f>SUM($L12:L$15)</f>
        <v>7810</v>
      </c>
      <c r="N12" s="1">
        <v>2890</v>
      </c>
      <c r="O12">
        <f>SUM($N12:N$15)</f>
        <v>7810</v>
      </c>
      <c r="Q12">
        <f t="shared" si="2"/>
        <v>0</v>
      </c>
    </row>
    <row r="13" spans="1:17" x14ac:dyDescent="0.3">
      <c r="A13" s="18">
        <v>-1</v>
      </c>
      <c r="B13" s="18">
        <f t="shared" si="3"/>
        <v>-700</v>
      </c>
      <c r="D13">
        <v>41</v>
      </c>
      <c r="E13">
        <f t="shared" si="0"/>
        <v>31820</v>
      </c>
      <c r="F13" t="str">
        <f t="shared" si="1"/>
        <v>sgm_const_plane_point_vector("41","[31820,0,0]","&lt;1,0,0&gt;",sgm_create_plane_po_created_ids )</v>
      </c>
      <c r="K13" s="1">
        <v>2</v>
      </c>
      <c r="L13" s="1">
        <v>2820</v>
      </c>
      <c r="M13">
        <f>SUM($L13:L$15)</f>
        <v>4920</v>
      </c>
      <c r="N13" s="1">
        <v>2820</v>
      </c>
      <c r="O13">
        <f>SUM($N13:N$15)</f>
        <v>4920</v>
      </c>
      <c r="Q13">
        <f t="shared" si="2"/>
        <v>0</v>
      </c>
    </row>
    <row r="14" spans="1:17" x14ac:dyDescent="0.3">
      <c r="A14" s="18">
        <v>0</v>
      </c>
      <c r="B14" s="18">
        <v>0</v>
      </c>
      <c r="D14">
        <v>45</v>
      </c>
      <c r="E14">
        <f t="shared" si="0"/>
        <v>35100</v>
      </c>
      <c r="F14" t="str">
        <f t="shared" si="1"/>
        <v>sgm_const_plane_point_vector("45","[35100,0,0]","&lt;1,0,0&gt;",sgm_create_plane_po_created_ids )</v>
      </c>
      <c r="K14" s="1">
        <v>1</v>
      </c>
      <c r="L14" s="1">
        <v>2100</v>
      </c>
      <c r="M14">
        <f>SUM($L14:L$15)</f>
        <v>2100</v>
      </c>
      <c r="N14" s="1">
        <v>2100</v>
      </c>
      <c r="O14">
        <f>SUM($N14:N$15)</f>
        <v>2100</v>
      </c>
      <c r="Q14">
        <f t="shared" si="2"/>
        <v>0</v>
      </c>
    </row>
    <row r="15" spans="1:17" x14ac:dyDescent="0.3">
      <c r="A15" s="18">
        <v>1</v>
      </c>
      <c r="B15" s="18">
        <v>700</v>
      </c>
      <c r="D15">
        <v>49</v>
      </c>
      <c r="E15">
        <f t="shared" si="0"/>
        <v>38380</v>
      </c>
      <c r="F15" t="str">
        <f t="shared" si="1"/>
        <v>sgm_const_plane_point_vector("49","[38380,0,0]","&lt;1,0,0&gt;",sgm_create_plane_po_created_ids )</v>
      </c>
      <c r="K15" s="1">
        <v>0</v>
      </c>
      <c r="L15" s="1">
        <v>0</v>
      </c>
      <c r="M15">
        <f>SUM($L$15:L15)</f>
        <v>0</v>
      </c>
      <c r="N15" s="1">
        <v>0</v>
      </c>
      <c r="O15">
        <f>SUM($N$15:N15)</f>
        <v>0</v>
      </c>
      <c r="Q15">
        <f t="shared" si="2"/>
        <v>0</v>
      </c>
    </row>
    <row r="16" spans="1:17" x14ac:dyDescent="0.3">
      <c r="A16" s="18">
        <v>2</v>
      </c>
      <c r="B16" s="18">
        <v>1400</v>
      </c>
      <c r="D16">
        <v>53</v>
      </c>
      <c r="E16">
        <f t="shared" si="0"/>
        <v>41660</v>
      </c>
      <c r="F16" t="str">
        <f t="shared" si="1"/>
        <v>sgm_const_plane_point_vector("53","[41660,0,0]","&lt;1,0,0&gt;",sgm_create_plane_po_created_ids )</v>
      </c>
    </row>
    <row r="17" spans="1:6" x14ac:dyDescent="0.3">
      <c r="A17" s="18">
        <v>3</v>
      </c>
      <c r="B17" s="18">
        <v>2100</v>
      </c>
      <c r="D17">
        <v>57</v>
      </c>
      <c r="E17">
        <f t="shared" si="0"/>
        <v>44940</v>
      </c>
      <c r="F17" t="str">
        <f t="shared" si="1"/>
        <v>sgm_const_plane_point_vector("57","[44940,0,0]","&lt;1,0,0&gt;",sgm_create_plane_po_created_ids )</v>
      </c>
    </row>
    <row r="18" spans="1:6" x14ac:dyDescent="0.3">
      <c r="A18" s="18">
        <v>4</v>
      </c>
      <c r="B18" s="18">
        <v>2800</v>
      </c>
      <c r="D18">
        <v>61</v>
      </c>
      <c r="E18">
        <f t="shared" si="0"/>
        <v>48220</v>
      </c>
      <c r="F18" t="str">
        <f t="shared" si="1"/>
        <v>sgm_const_plane_point_vector("61","[48220,0,0]","&lt;1,0,0&gt;",sgm_create_plane_po_created_ids )</v>
      </c>
    </row>
    <row r="19" spans="1:6" x14ac:dyDescent="0.3">
      <c r="A19" s="18">
        <v>5</v>
      </c>
      <c r="B19" s="18">
        <v>3500</v>
      </c>
      <c r="D19">
        <v>65</v>
      </c>
      <c r="E19">
        <f t="shared" si="0"/>
        <v>51500</v>
      </c>
      <c r="F19" t="str">
        <f t="shared" si="1"/>
        <v>sgm_const_plane_point_vector("65","[51500,0,0]","&lt;1,0,0&gt;",sgm_create_plane_po_created_ids )</v>
      </c>
    </row>
    <row r="20" spans="1:6" x14ac:dyDescent="0.3">
      <c r="A20" s="18">
        <v>6</v>
      </c>
      <c r="B20" s="18">
        <v>4200</v>
      </c>
      <c r="D20">
        <v>69</v>
      </c>
      <c r="E20">
        <f t="shared" si="0"/>
        <v>54780</v>
      </c>
      <c r="F20" t="str">
        <f t="shared" si="1"/>
        <v>sgm_const_plane_point_vector("69","[54780,0,0]","&lt;1,0,0&gt;",sgm_create_plane_po_created_ids )</v>
      </c>
    </row>
    <row r="21" spans="1:6" x14ac:dyDescent="0.3">
      <c r="A21" s="18">
        <v>7</v>
      </c>
      <c r="B21" s="18">
        <v>4900</v>
      </c>
      <c r="D21">
        <v>73</v>
      </c>
      <c r="E21">
        <f t="shared" si="0"/>
        <v>58060</v>
      </c>
      <c r="F21" t="str">
        <f t="shared" si="1"/>
        <v>sgm_const_plane_point_vector("73","[58060,0,0]","&lt;1,0,0&gt;",sgm_create_plane_po_created_ids )</v>
      </c>
    </row>
    <row r="22" spans="1:6" x14ac:dyDescent="0.3">
      <c r="A22" s="18">
        <v>8</v>
      </c>
      <c r="B22" s="18">
        <v>5600</v>
      </c>
      <c r="D22">
        <v>77</v>
      </c>
      <c r="E22">
        <f t="shared" si="0"/>
        <v>61340</v>
      </c>
      <c r="F22" t="str">
        <f t="shared" si="1"/>
        <v>sgm_const_plane_point_vector("77","[61340,0,0]","&lt;1,0,0&gt;",sgm_create_plane_po_created_ids )</v>
      </c>
    </row>
    <row r="23" spans="1:6" x14ac:dyDescent="0.3">
      <c r="A23" s="18">
        <v>9</v>
      </c>
      <c r="B23" s="18">
        <v>6300</v>
      </c>
      <c r="D23">
        <v>81</v>
      </c>
      <c r="E23">
        <f t="shared" si="0"/>
        <v>64620</v>
      </c>
      <c r="F23" t="str">
        <f t="shared" si="1"/>
        <v>sgm_const_plane_point_vector("81","[64620,0,0]","&lt;1,0,0&gt;",sgm_create_plane_po_created_ids )</v>
      </c>
    </row>
    <row r="24" spans="1:6" x14ac:dyDescent="0.3">
      <c r="A24" s="18">
        <v>10</v>
      </c>
      <c r="B24" s="18">
        <v>7000</v>
      </c>
      <c r="D24">
        <v>85</v>
      </c>
      <c r="E24">
        <f t="shared" si="0"/>
        <v>67900</v>
      </c>
      <c r="F24" t="str">
        <f t="shared" si="1"/>
        <v>sgm_const_plane_point_vector("85","[67900,0,0]","&lt;1,0,0&gt;",sgm_create_plane_po_created_ids )</v>
      </c>
    </row>
    <row r="25" spans="1:6" x14ac:dyDescent="0.3">
      <c r="A25" s="18">
        <v>11</v>
      </c>
      <c r="B25" s="18">
        <v>7700</v>
      </c>
      <c r="D25">
        <v>89</v>
      </c>
      <c r="E25">
        <f t="shared" si="0"/>
        <v>71180</v>
      </c>
      <c r="F25" t="str">
        <f t="shared" si="1"/>
        <v>sgm_const_plane_point_vector("89","[71180,0,0]","&lt;1,0,0&gt;",sgm_create_plane_po_created_ids )</v>
      </c>
    </row>
    <row r="26" spans="1:6" x14ac:dyDescent="0.3">
      <c r="A26" s="18">
        <v>12</v>
      </c>
      <c r="B26" s="18">
        <v>8400</v>
      </c>
      <c r="D26">
        <v>93</v>
      </c>
      <c r="E26">
        <f t="shared" si="0"/>
        <v>74460</v>
      </c>
      <c r="F26" t="str">
        <f t="shared" si="1"/>
        <v>sgm_const_plane_point_vector("93","[74460,0,0]","&lt;1,0,0&gt;",sgm_create_plane_po_created_ids )</v>
      </c>
    </row>
    <row r="27" spans="1:6" x14ac:dyDescent="0.3">
      <c r="A27" s="18">
        <v>13</v>
      </c>
      <c r="B27" s="18">
        <v>9100</v>
      </c>
      <c r="D27">
        <v>97</v>
      </c>
      <c r="E27">
        <f t="shared" si="0"/>
        <v>77740</v>
      </c>
      <c r="F27" t="str">
        <f t="shared" si="1"/>
        <v>sgm_const_plane_point_vector("97","[77740,0,0]","&lt;1,0,0&gt;",sgm_create_plane_po_created_ids )</v>
      </c>
    </row>
    <row r="28" spans="1:6" x14ac:dyDescent="0.3">
      <c r="A28" s="18">
        <v>14</v>
      </c>
      <c r="B28" s="18">
        <v>9800</v>
      </c>
      <c r="D28">
        <v>101</v>
      </c>
      <c r="E28">
        <f t="shared" si="0"/>
        <v>81020</v>
      </c>
      <c r="F28" t="str">
        <f t="shared" si="1"/>
        <v>sgm_const_plane_point_vector("101","[81020,0,0]","&lt;1,0,0&gt;",sgm_create_plane_po_created_ids )</v>
      </c>
    </row>
    <row r="29" spans="1:6" x14ac:dyDescent="0.3">
      <c r="A29" s="18">
        <v>15</v>
      </c>
      <c r="B29" s="18">
        <v>10500</v>
      </c>
      <c r="D29">
        <v>105</v>
      </c>
      <c r="E29">
        <f t="shared" si="0"/>
        <v>84300</v>
      </c>
      <c r="F29" t="str">
        <f t="shared" si="1"/>
        <v>sgm_const_plane_point_vector("105","[84300,0,0]","&lt;1,0,0&gt;",sgm_create_plane_po_created_ids )</v>
      </c>
    </row>
    <row r="30" spans="1:6" x14ac:dyDescent="0.3">
      <c r="A30" s="93">
        <v>16</v>
      </c>
      <c r="B30" s="93">
        <f t="shared" ref="B30:B61" si="4">B29+820</f>
        <v>11320</v>
      </c>
      <c r="D30">
        <v>109</v>
      </c>
      <c r="E30">
        <f t="shared" si="0"/>
        <v>87580</v>
      </c>
      <c r="F30" t="str">
        <f t="shared" si="1"/>
        <v>sgm_const_plane_point_vector("109","[87580,0,0]","&lt;1,0,0&gt;",sgm_create_plane_po_created_ids )</v>
      </c>
    </row>
    <row r="31" spans="1:6" x14ac:dyDescent="0.3">
      <c r="A31" s="93">
        <v>17</v>
      </c>
      <c r="B31" s="93">
        <f t="shared" si="4"/>
        <v>12140</v>
      </c>
      <c r="D31">
        <v>113</v>
      </c>
      <c r="E31">
        <f t="shared" si="0"/>
        <v>90860</v>
      </c>
      <c r="F31" t="str">
        <f t="shared" si="1"/>
        <v>sgm_const_plane_point_vector("113","[90860,0,0]","&lt;1,0,0&gt;",sgm_create_plane_po_created_ids )</v>
      </c>
    </row>
    <row r="32" spans="1:6" x14ac:dyDescent="0.3">
      <c r="A32" s="93">
        <v>18</v>
      </c>
      <c r="B32" s="93">
        <f t="shared" si="4"/>
        <v>12960</v>
      </c>
      <c r="D32">
        <v>117</v>
      </c>
      <c r="E32">
        <f t="shared" si="0"/>
        <v>94140</v>
      </c>
      <c r="F32" t="str">
        <f t="shared" si="1"/>
        <v>sgm_const_plane_point_vector("117","[94140,0,0]","&lt;1,0,0&gt;",sgm_create_plane_po_created_ids )</v>
      </c>
    </row>
    <row r="33" spans="1:6" x14ac:dyDescent="0.3">
      <c r="A33" s="93">
        <v>19</v>
      </c>
      <c r="B33" s="93">
        <f t="shared" si="4"/>
        <v>13780</v>
      </c>
      <c r="D33">
        <v>121</v>
      </c>
      <c r="E33">
        <f t="shared" si="0"/>
        <v>97420</v>
      </c>
      <c r="F33" t="str">
        <f t="shared" si="1"/>
        <v>sgm_const_plane_point_vector("121","[97420,0,0]","&lt;1,0,0&gt;",sgm_create_plane_po_created_ids )</v>
      </c>
    </row>
    <row r="34" spans="1:6" x14ac:dyDescent="0.3">
      <c r="A34" s="93">
        <v>20</v>
      </c>
      <c r="B34" s="93">
        <f t="shared" si="4"/>
        <v>14600</v>
      </c>
      <c r="D34">
        <v>125</v>
      </c>
      <c r="E34">
        <f t="shared" ref="E34:E53" si="5">VLOOKUP(D34,$A$2:$B$236,2,0)</f>
        <v>100700</v>
      </c>
      <c r="F34" t="str">
        <f t="shared" ref="F34:F53" si="6">"sgm_const_plane_point_vector("&amp;""""&amp;D34&amp;""""&amp;","&amp;"""["&amp;E34&amp;",0,0]"""&amp;","&amp;"""&lt;1,0,0&gt;"""&amp;","&amp;"sgm_create_plane_po_created_ids )"</f>
        <v>sgm_const_plane_point_vector("125","[100700,0,0]","&lt;1,0,0&gt;",sgm_create_plane_po_created_ids )</v>
      </c>
    </row>
    <row r="35" spans="1:6" x14ac:dyDescent="0.3">
      <c r="A35" s="93">
        <v>21</v>
      </c>
      <c r="B35" s="93">
        <f t="shared" si="4"/>
        <v>15420</v>
      </c>
      <c r="D35">
        <v>129</v>
      </c>
      <c r="E35">
        <f t="shared" si="5"/>
        <v>103980</v>
      </c>
      <c r="F35" t="str">
        <f t="shared" si="6"/>
        <v>sgm_const_plane_point_vector("129","[103980,0,0]","&lt;1,0,0&gt;",sgm_create_plane_po_created_ids )</v>
      </c>
    </row>
    <row r="36" spans="1:6" x14ac:dyDescent="0.3">
      <c r="A36" s="93">
        <v>22</v>
      </c>
      <c r="B36" s="93">
        <f t="shared" si="4"/>
        <v>16240</v>
      </c>
      <c r="D36">
        <v>133</v>
      </c>
      <c r="E36">
        <f t="shared" si="5"/>
        <v>107260</v>
      </c>
      <c r="F36" t="str">
        <f t="shared" si="6"/>
        <v>sgm_const_plane_point_vector("133","[107260,0,0]","&lt;1,0,0&gt;",sgm_create_plane_po_created_ids )</v>
      </c>
    </row>
    <row r="37" spans="1:6" x14ac:dyDescent="0.3">
      <c r="A37" s="93">
        <v>23</v>
      </c>
      <c r="B37" s="93">
        <f t="shared" si="4"/>
        <v>17060</v>
      </c>
      <c r="D37">
        <v>137</v>
      </c>
      <c r="E37">
        <f t="shared" si="5"/>
        <v>110540</v>
      </c>
      <c r="F37" t="str">
        <f t="shared" si="6"/>
        <v>sgm_const_plane_point_vector("137","[110540,0,0]","&lt;1,0,0&gt;",sgm_create_plane_po_created_ids )</v>
      </c>
    </row>
    <row r="38" spans="1:6" x14ac:dyDescent="0.3">
      <c r="A38" s="93">
        <v>24</v>
      </c>
      <c r="B38" s="93">
        <f t="shared" si="4"/>
        <v>17880</v>
      </c>
      <c r="D38">
        <v>141</v>
      </c>
      <c r="E38">
        <f t="shared" si="5"/>
        <v>113820</v>
      </c>
      <c r="F38" t="str">
        <f t="shared" si="6"/>
        <v>sgm_const_plane_point_vector("141","[113820,0,0]","&lt;1,0,0&gt;",sgm_create_plane_po_created_ids )</v>
      </c>
    </row>
    <row r="39" spans="1:6" x14ac:dyDescent="0.3">
      <c r="A39" s="93">
        <v>25</v>
      </c>
      <c r="B39" s="93">
        <f t="shared" si="4"/>
        <v>18700</v>
      </c>
      <c r="D39">
        <v>145</v>
      </c>
      <c r="E39">
        <f t="shared" si="5"/>
        <v>117100</v>
      </c>
      <c r="F39" t="str">
        <f t="shared" si="6"/>
        <v>sgm_const_plane_point_vector("145","[117100,0,0]","&lt;1,0,0&gt;",sgm_create_plane_po_created_ids )</v>
      </c>
    </row>
    <row r="40" spans="1:6" x14ac:dyDescent="0.3">
      <c r="A40" s="93">
        <v>26</v>
      </c>
      <c r="B40" s="93">
        <f t="shared" si="4"/>
        <v>19520</v>
      </c>
      <c r="D40">
        <v>149</v>
      </c>
      <c r="E40">
        <f t="shared" si="5"/>
        <v>120380</v>
      </c>
      <c r="F40" t="str">
        <f t="shared" si="6"/>
        <v>sgm_const_plane_point_vector("149","[120380,0,0]","&lt;1,0,0&gt;",sgm_create_plane_po_created_ids )</v>
      </c>
    </row>
    <row r="41" spans="1:6" x14ac:dyDescent="0.3">
      <c r="A41" s="93">
        <v>27</v>
      </c>
      <c r="B41" s="93">
        <f t="shared" si="4"/>
        <v>20340</v>
      </c>
      <c r="D41">
        <v>153</v>
      </c>
      <c r="E41">
        <f t="shared" si="5"/>
        <v>123660</v>
      </c>
      <c r="F41" t="str">
        <f t="shared" si="6"/>
        <v>sgm_const_plane_point_vector("153","[123660,0,0]","&lt;1,0,0&gt;",sgm_create_plane_po_created_ids )</v>
      </c>
    </row>
    <row r="42" spans="1:6" x14ac:dyDescent="0.3">
      <c r="A42" s="93">
        <v>28</v>
      </c>
      <c r="B42" s="93">
        <f t="shared" si="4"/>
        <v>21160</v>
      </c>
      <c r="D42">
        <v>157</v>
      </c>
      <c r="E42">
        <f t="shared" si="5"/>
        <v>126940</v>
      </c>
      <c r="F42" t="str">
        <f t="shared" si="6"/>
        <v>sgm_const_plane_point_vector("157","[126940,0,0]","&lt;1,0,0&gt;",sgm_create_plane_po_created_ids )</v>
      </c>
    </row>
    <row r="43" spans="1:6" x14ac:dyDescent="0.3">
      <c r="A43" s="93">
        <v>29</v>
      </c>
      <c r="B43" s="93">
        <f t="shared" si="4"/>
        <v>21980</v>
      </c>
      <c r="D43">
        <v>161</v>
      </c>
      <c r="E43">
        <f t="shared" si="5"/>
        <v>130220</v>
      </c>
      <c r="F43" t="str">
        <f t="shared" si="6"/>
        <v>sgm_const_plane_point_vector("161","[130220,0,0]","&lt;1,0,0&gt;",sgm_create_plane_po_created_ids )</v>
      </c>
    </row>
    <row r="44" spans="1:6" x14ac:dyDescent="0.3">
      <c r="A44" s="93">
        <v>30</v>
      </c>
      <c r="B44" s="93">
        <f t="shared" si="4"/>
        <v>22800</v>
      </c>
      <c r="D44">
        <v>165</v>
      </c>
      <c r="E44">
        <f t="shared" si="5"/>
        <v>133500</v>
      </c>
      <c r="F44" t="str">
        <f t="shared" si="6"/>
        <v>sgm_const_plane_point_vector("165","[133500,0,0]","&lt;1,0,0&gt;",sgm_create_plane_po_created_ids )</v>
      </c>
    </row>
    <row r="45" spans="1:6" x14ac:dyDescent="0.3">
      <c r="A45" s="93">
        <v>31</v>
      </c>
      <c r="B45" s="93">
        <f t="shared" si="4"/>
        <v>23620</v>
      </c>
      <c r="D45">
        <v>169</v>
      </c>
      <c r="E45">
        <f t="shared" si="5"/>
        <v>136780</v>
      </c>
      <c r="F45" t="str">
        <f t="shared" si="6"/>
        <v>sgm_const_plane_point_vector("169","[136780,0,0]","&lt;1,0,0&gt;",sgm_create_plane_po_created_ids )</v>
      </c>
    </row>
    <row r="46" spans="1:6" x14ac:dyDescent="0.3">
      <c r="A46" s="93">
        <v>32</v>
      </c>
      <c r="B46" s="93">
        <f t="shared" si="4"/>
        <v>24440</v>
      </c>
      <c r="D46">
        <v>173</v>
      </c>
      <c r="E46">
        <f t="shared" si="5"/>
        <v>140060</v>
      </c>
      <c r="F46" t="str">
        <f t="shared" si="6"/>
        <v>sgm_const_plane_point_vector("173","[140060,0,0]","&lt;1,0,0&gt;",sgm_create_plane_po_created_ids )</v>
      </c>
    </row>
    <row r="47" spans="1:6" x14ac:dyDescent="0.3">
      <c r="A47" s="93">
        <v>33</v>
      </c>
      <c r="B47" s="93">
        <f t="shared" si="4"/>
        <v>25260</v>
      </c>
      <c r="D47">
        <v>177</v>
      </c>
      <c r="E47">
        <f t="shared" si="5"/>
        <v>143340</v>
      </c>
      <c r="F47" t="str">
        <f t="shared" si="6"/>
        <v>sgm_const_plane_point_vector("177","[143340,0,0]","&lt;1,0,0&gt;",sgm_create_plane_po_created_ids )</v>
      </c>
    </row>
    <row r="48" spans="1:6" x14ac:dyDescent="0.3">
      <c r="A48" s="93">
        <v>34</v>
      </c>
      <c r="B48" s="93">
        <f t="shared" si="4"/>
        <v>26080</v>
      </c>
      <c r="D48">
        <v>181</v>
      </c>
      <c r="E48">
        <f t="shared" si="5"/>
        <v>146620</v>
      </c>
      <c r="F48" t="str">
        <f t="shared" si="6"/>
        <v>sgm_const_plane_point_vector("181","[146620,0,0]","&lt;1,0,0&gt;",sgm_create_plane_po_created_ids )</v>
      </c>
    </row>
    <row r="49" spans="1:6" x14ac:dyDescent="0.3">
      <c r="A49" s="93">
        <v>35</v>
      </c>
      <c r="B49" s="93">
        <f t="shared" si="4"/>
        <v>26900</v>
      </c>
      <c r="D49">
        <v>185</v>
      </c>
      <c r="E49">
        <f t="shared" si="5"/>
        <v>149900</v>
      </c>
      <c r="F49" t="str">
        <f t="shared" si="6"/>
        <v>sgm_const_plane_point_vector("185","[149900,0,0]","&lt;1,0,0&gt;",sgm_create_plane_po_created_ids )</v>
      </c>
    </row>
    <row r="50" spans="1:6" x14ac:dyDescent="0.3">
      <c r="A50" s="93">
        <v>36</v>
      </c>
      <c r="B50" s="93">
        <f t="shared" si="4"/>
        <v>27720</v>
      </c>
      <c r="D50">
        <v>189</v>
      </c>
      <c r="E50">
        <f t="shared" si="5"/>
        <v>153180</v>
      </c>
      <c r="F50" t="str">
        <f t="shared" si="6"/>
        <v>sgm_const_plane_point_vector("189","[153180,0,0]","&lt;1,0,0&gt;",sgm_create_plane_po_created_ids )</v>
      </c>
    </row>
    <row r="51" spans="1:6" x14ac:dyDescent="0.3">
      <c r="A51" s="93">
        <v>37</v>
      </c>
      <c r="B51" s="93">
        <f t="shared" si="4"/>
        <v>28540</v>
      </c>
      <c r="D51">
        <v>193</v>
      </c>
      <c r="E51">
        <f t="shared" si="5"/>
        <v>156460</v>
      </c>
      <c r="F51" t="str">
        <f t="shared" si="6"/>
        <v>sgm_const_plane_point_vector("193","[156460,0,0]","&lt;1,0,0&gt;",sgm_create_plane_po_created_ids )</v>
      </c>
    </row>
    <row r="52" spans="1:6" x14ac:dyDescent="0.3">
      <c r="A52" s="93">
        <v>38</v>
      </c>
      <c r="B52" s="93">
        <f t="shared" si="4"/>
        <v>29360</v>
      </c>
      <c r="D52">
        <v>197</v>
      </c>
      <c r="E52">
        <f t="shared" si="5"/>
        <v>159740</v>
      </c>
      <c r="F52" t="str">
        <f t="shared" si="6"/>
        <v>sgm_const_plane_point_vector("197","[159740,0,0]","&lt;1,0,0&gt;",sgm_create_plane_po_created_ids )</v>
      </c>
    </row>
    <row r="53" spans="1:6" x14ac:dyDescent="0.3">
      <c r="A53" s="93">
        <v>39</v>
      </c>
      <c r="B53" s="93">
        <f t="shared" si="4"/>
        <v>30180</v>
      </c>
      <c r="D53">
        <v>199</v>
      </c>
      <c r="E53">
        <f t="shared" si="5"/>
        <v>161380</v>
      </c>
      <c r="F53" t="str">
        <f t="shared" si="6"/>
        <v>sgm_const_plane_point_vector("199","[161380,0,0]","&lt;1,0,0&gt;",sgm_create_plane_po_created_ids )</v>
      </c>
    </row>
    <row r="54" spans="1:6" x14ac:dyDescent="0.3">
      <c r="A54" s="93">
        <v>40</v>
      </c>
      <c r="B54" s="93">
        <f t="shared" si="4"/>
        <v>31000</v>
      </c>
    </row>
    <row r="55" spans="1:6" x14ac:dyDescent="0.3">
      <c r="A55" s="93">
        <v>41</v>
      </c>
      <c r="B55" s="93">
        <f t="shared" si="4"/>
        <v>31820</v>
      </c>
    </row>
    <row r="56" spans="1:6" x14ac:dyDescent="0.3">
      <c r="A56" s="93">
        <v>42</v>
      </c>
      <c r="B56" s="93">
        <f t="shared" si="4"/>
        <v>32640</v>
      </c>
    </row>
    <row r="57" spans="1:6" x14ac:dyDescent="0.3">
      <c r="A57" s="93">
        <v>43</v>
      </c>
      <c r="B57" s="93">
        <f t="shared" si="4"/>
        <v>33460</v>
      </c>
    </row>
    <row r="58" spans="1:6" x14ac:dyDescent="0.3">
      <c r="A58" s="93">
        <v>44</v>
      </c>
      <c r="B58" s="93">
        <f t="shared" si="4"/>
        <v>34280</v>
      </c>
    </row>
    <row r="59" spans="1:6" x14ac:dyDescent="0.3">
      <c r="A59" s="93">
        <v>45</v>
      </c>
      <c r="B59" s="93">
        <f t="shared" si="4"/>
        <v>35100</v>
      </c>
    </row>
    <row r="60" spans="1:6" x14ac:dyDescent="0.3">
      <c r="A60" s="93">
        <v>46</v>
      </c>
      <c r="B60" s="93">
        <f t="shared" si="4"/>
        <v>35920</v>
      </c>
    </row>
    <row r="61" spans="1:6" x14ac:dyDescent="0.3">
      <c r="A61" s="93">
        <v>47</v>
      </c>
      <c r="B61" s="93">
        <f t="shared" si="4"/>
        <v>36740</v>
      </c>
    </row>
    <row r="62" spans="1:6" x14ac:dyDescent="0.3">
      <c r="A62" s="93">
        <v>48</v>
      </c>
      <c r="B62" s="93">
        <f t="shared" ref="B62:B93" si="7">B61+820</f>
        <v>37560</v>
      </c>
    </row>
    <row r="63" spans="1:6" x14ac:dyDescent="0.3">
      <c r="A63" s="93">
        <v>49</v>
      </c>
      <c r="B63" s="93">
        <f t="shared" si="7"/>
        <v>38380</v>
      </c>
    </row>
    <row r="64" spans="1:6" x14ac:dyDescent="0.3">
      <c r="A64" s="93">
        <v>50</v>
      </c>
      <c r="B64" s="93">
        <f t="shared" si="7"/>
        <v>39200</v>
      </c>
    </row>
    <row r="65" spans="1:2" x14ac:dyDescent="0.3">
      <c r="A65" s="93">
        <v>51</v>
      </c>
      <c r="B65" s="93">
        <f t="shared" si="7"/>
        <v>40020</v>
      </c>
    </row>
    <row r="66" spans="1:2" x14ac:dyDescent="0.3">
      <c r="A66" s="93">
        <v>52</v>
      </c>
      <c r="B66" s="93">
        <f t="shared" si="7"/>
        <v>40840</v>
      </c>
    </row>
    <row r="67" spans="1:2" x14ac:dyDescent="0.3">
      <c r="A67" s="93">
        <v>53</v>
      </c>
      <c r="B67" s="93">
        <f t="shared" si="7"/>
        <v>41660</v>
      </c>
    </row>
    <row r="68" spans="1:2" x14ac:dyDescent="0.3">
      <c r="A68" s="93">
        <v>54</v>
      </c>
      <c r="B68" s="93">
        <f t="shared" si="7"/>
        <v>42480</v>
      </c>
    </row>
    <row r="69" spans="1:2" x14ac:dyDescent="0.3">
      <c r="A69" s="93">
        <v>55</v>
      </c>
      <c r="B69" s="93">
        <f t="shared" si="7"/>
        <v>43300</v>
      </c>
    </row>
    <row r="70" spans="1:2" x14ac:dyDescent="0.3">
      <c r="A70" s="93">
        <v>56</v>
      </c>
      <c r="B70" s="93">
        <f t="shared" si="7"/>
        <v>44120</v>
      </c>
    </row>
    <row r="71" spans="1:2" x14ac:dyDescent="0.3">
      <c r="A71" s="93">
        <v>57</v>
      </c>
      <c r="B71" s="93">
        <f t="shared" si="7"/>
        <v>44940</v>
      </c>
    </row>
    <row r="72" spans="1:2" x14ac:dyDescent="0.3">
      <c r="A72" s="93">
        <v>58</v>
      </c>
      <c r="B72" s="93">
        <f t="shared" si="7"/>
        <v>45760</v>
      </c>
    </row>
    <row r="73" spans="1:2" x14ac:dyDescent="0.3">
      <c r="A73" s="93">
        <v>59</v>
      </c>
      <c r="B73" s="93">
        <f t="shared" si="7"/>
        <v>46580</v>
      </c>
    </row>
    <row r="74" spans="1:2" x14ac:dyDescent="0.3">
      <c r="A74" s="93">
        <v>60</v>
      </c>
      <c r="B74" s="93">
        <f t="shared" si="7"/>
        <v>47400</v>
      </c>
    </row>
    <row r="75" spans="1:2" x14ac:dyDescent="0.3">
      <c r="A75" s="93">
        <v>61</v>
      </c>
      <c r="B75" s="93">
        <f t="shared" si="7"/>
        <v>48220</v>
      </c>
    </row>
    <row r="76" spans="1:2" x14ac:dyDescent="0.3">
      <c r="A76" s="93">
        <v>62</v>
      </c>
      <c r="B76" s="93">
        <f t="shared" si="7"/>
        <v>49040</v>
      </c>
    </row>
    <row r="77" spans="1:2" x14ac:dyDescent="0.3">
      <c r="A77" s="93">
        <v>63</v>
      </c>
      <c r="B77" s="93">
        <f t="shared" si="7"/>
        <v>49860</v>
      </c>
    </row>
    <row r="78" spans="1:2" x14ac:dyDescent="0.3">
      <c r="A78" s="93">
        <v>64</v>
      </c>
      <c r="B78" s="93">
        <f t="shared" si="7"/>
        <v>50680</v>
      </c>
    </row>
    <row r="79" spans="1:2" x14ac:dyDescent="0.3">
      <c r="A79" s="93">
        <v>65</v>
      </c>
      <c r="B79" s="93">
        <f t="shared" si="7"/>
        <v>51500</v>
      </c>
    </row>
    <row r="80" spans="1:2" x14ac:dyDescent="0.3">
      <c r="A80" s="93">
        <v>66</v>
      </c>
      <c r="B80" s="93">
        <f t="shared" si="7"/>
        <v>52320</v>
      </c>
    </row>
    <row r="81" spans="1:2" x14ac:dyDescent="0.3">
      <c r="A81" s="93">
        <v>67</v>
      </c>
      <c r="B81" s="93">
        <f t="shared" si="7"/>
        <v>53140</v>
      </c>
    </row>
    <row r="82" spans="1:2" x14ac:dyDescent="0.3">
      <c r="A82" s="93">
        <v>68</v>
      </c>
      <c r="B82" s="93">
        <f t="shared" si="7"/>
        <v>53960</v>
      </c>
    </row>
    <row r="83" spans="1:2" x14ac:dyDescent="0.3">
      <c r="A83" s="93">
        <v>69</v>
      </c>
      <c r="B83" s="93">
        <f t="shared" si="7"/>
        <v>54780</v>
      </c>
    </row>
    <row r="84" spans="1:2" x14ac:dyDescent="0.3">
      <c r="A84" s="93">
        <v>70</v>
      </c>
      <c r="B84" s="93">
        <f t="shared" si="7"/>
        <v>55600</v>
      </c>
    </row>
    <row r="85" spans="1:2" x14ac:dyDescent="0.3">
      <c r="A85" s="93">
        <v>71</v>
      </c>
      <c r="B85" s="93">
        <f t="shared" si="7"/>
        <v>56420</v>
      </c>
    </row>
    <row r="86" spans="1:2" x14ac:dyDescent="0.3">
      <c r="A86" s="93">
        <v>72</v>
      </c>
      <c r="B86" s="93">
        <f t="shared" si="7"/>
        <v>57240</v>
      </c>
    </row>
    <row r="87" spans="1:2" x14ac:dyDescent="0.3">
      <c r="A87" s="93">
        <v>73</v>
      </c>
      <c r="B87" s="93">
        <f t="shared" si="7"/>
        <v>58060</v>
      </c>
    </row>
    <row r="88" spans="1:2" x14ac:dyDescent="0.3">
      <c r="A88" s="93">
        <v>74</v>
      </c>
      <c r="B88" s="93">
        <f t="shared" si="7"/>
        <v>58880</v>
      </c>
    </row>
    <row r="89" spans="1:2" x14ac:dyDescent="0.3">
      <c r="A89" s="93">
        <v>75</v>
      </c>
      <c r="B89" s="93">
        <f t="shared" si="7"/>
        <v>59700</v>
      </c>
    </row>
    <row r="90" spans="1:2" x14ac:dyDescent="0.3">
      <c r="A90" s="93">
        <v>76</v>
      </c>
      <c r="B90" s="93">
        <f t="shared" si="7"/>
        <v>60520</v>
      </c>
    </row>
    <row r="91" spans="1:2" x14ac:dyDescent="0.3">
      <c r="A91" s="93">
        <v>77</v>
      </c>
      <c r="B91" s="93">
        <f t="shared" si="7"/>
        <v>61340</v>
      </c>
    </row>
    <row r="92" spans="1:2" x14ac:dyDescent="0.3">
      <c r="A92" s="93">
        <v>78</v>
      </c>
      <c r="B92" s="93">
        <f t="shared" si="7"/>
        <v>62160</v>
      </c>
    </row>
    <row r="93" spans="1:2" x14ac:dyDescent="0.3">
      <c r="A93" s="93">
        <v>79</v>
      </c>
      <c r="B93" s="93">
        <f t="shared" si="7"/>
        <v>62980</v>
      </c>
    </row>
    <row r="94" spans="1:2" x14ac:dyDescent="0.3">
      <c r="A94" s="93">
        <v>80</v>
      </c>
      <c r="B94" s="93">
        <f t="shared" ref="B94:B125" si="8">B93+820</f>
        <v>63800</v>
      </c>
    </row>
    <row r="95" spans="1:2" x14ac:dyDescent="0.3">
      <c r="A95" s="93">
        <v>81</v>
      </c>
      <c r="B95" s="93">
        <f t="shared" si="8"/>
        <v>64620</v>
      </c>
    </row>
    <row r="96" spans="1:2" x14ac:dyDescent="0.3">
      <c r="A96" s="93">
        <v>82</v>
      </c>
      <c r="B96" s="93">
        <f t="shared" si="8"/>
        <v>65440</v>
      </c>
    </row>
    <row r="97" spans="1:2" x14ac:dyDescent="0.3">
      <c r="A97" s="93">
        <v>83</v>
      </c>
      <c r="B97" s="93">
        <f t="shared" si="8"/>
        <v>66260</v>
      </c>
    </row>
    <row r="98" spans="1:2" x14ac:dyDescent="0.3">
      <c r="A98" s="93">
        <v>84</v>
      </c>
      <c r="B98" s="93">
        <f t="shared" si="8"/>
        <v>67080</v>
      </c>
    </row>
    <row r="99" spans="1:2" x14ac:dyDescent="0.3">
      <c r="A99" s="93">
        <v>85</v>
      </c>
      <c r="B99" s="93">
        <f t="shared" si="8"/>
        <v>67900</v>
      </c>
    </row>
    <row r="100" spans="1:2" x14ac:dyDescent="0.3">
      <c r="A100" s="93">
        <v>86</v>
      </c>
      <c r="B100" s="93">
        <f t="shared" si="8"/>
        <v>68720</v>
      </c>
    </row>
    <row r="101" spans="1:2" x14ac:dyDescent="0.3">
      <c r="A101" s="93">
        <v>87</v>
      </c>
      <c r="B101" s="93">
        <f t="shared" si="8"/>
        <v>69540</v>
      </c>
    </row>
    <row r="102" spans="1:2" x14ac:dyDescent="0.3">
      <c r="A102" s="93">
        <v>88</v>
      </c>
      <c r="B102" s="93">
        <f t="shared" si="8"/>
        <v>70360</v>
      </c>
    </row>
    <row r="103" spans="1:2" x14ac:dyDescent="0.3">
      <c r="A103" s="93">
        <v>89</v>
      </c>
      <c r="B103" s="93">
        <f t="shared" si="8"/>
        <v>71180</v>
      </c>
    </row>
    <row r="104" spans="1:2" x14ac:dyDescent="0.3">
      <c r="A104" s="93">
        <v>90</v>
      </c>
      <c r="B104" s="93">
        <f t="shared" si="8"/>
        <v>72000</v>
      </c>
    </row>
    <row r="105" spans="1:2" x14ac:dyDescent="0.3">
      <c r="A105" s="93">
        <v>91</v>
      </c>
      <c r="B105" s="93">
        <f t="shared" si="8"/>
        <v>72820</v>
      </c>
    </row>
    <row r="106" spans="1:2" x14ac:dyDescent="0.3">
      <c r="A106" s="93">
        <v>92</v>
      </c>
      <c r="B106" s="93">
        <f t="shared" si="8"/>
        <v>73640</v>
      </c>
    </row>
    <row r="107" spans="1:2" x14ac:dyDescent="0.3">
      <c r="A107" s="93">
        <v>93</v>
      </c>
      <c r="B107" s="93">
        <f t="shared" si="8"/>
        <v>74460</v>
      </c>
    </row>
    <row r="108" spans="1:2" x14ac:dyDescent="0.3">
      <c r="A108" s="93">
        <v>94</v>
      </c>
      <c r="B108" s="93">
        <f t="shared" si="8"/>
        <v>75280</v>
      </c>
    </row>
    <row r="109" spans="1:2" x14ac:dyDescent="0.3">
      <c r="A109" s="93">
        <v>95</v>
      </c>
      <c r="B109" s="93">
        <f t="shared" si="8"/>
        <v>76100</v>
      </c>
    </row>
    <row r="110" spans="1:2" x14ac:dyDescent="0.3">
      <c r="A110" s="93">
        <v>96</v>
      </c>
      <c r="B110" s="93">
        <f t="shared" si="8"/>
        <v>76920</v>
      </c>
    </row>
    <row r="111" spans="1:2" x14ac:dyDescent="0.3">
      <c r="A111" s="93">
        <v>97</v>
      </c>
      <c r="B111" s="93">
        <f t="shared" si="8"/>
        <v>77740</v>
      </c>
    </row>
    <row r="112" spans="1:2" x14ac:dyDescent="0.3">
      <c r="A112" s="93">
        <v>98</v>
      </c>
      <c r="B112" s="93">
        <f t="shared" si="8"/>
        <v>78560</v>
      </c>
    </row>
    <row r="113" spans="1:2" x14ac:dyDescent="0.3">
      <c r="A113" s="93">
        <v>99</v>
      </c>
      <c r="B113" s="93">
        <f t="shared" si="8"/>
        <v>79380</v>
      </c>
    </row>
    <row r="114" spans="1:2" x14ac:dyDescent="0.3">
      <c r="A114" s="93">
        <v>100</v>
      </c>
      <c r="B114" s="93">
        <f t="shared" si="8"/>
        <v>80200</v>
      </c>
    </row>
    <row r="115" spans="1:2" x14ac:dyDescent="0.3">
      <c r="A115" s="93">
        <v>101</v>
      </c>
      <c r="B115" s="93">
        <f t="shared" si="8"/>
        <v>81020</v>
      </c>
    </row>
    <row r="116" spans="1:2" x14ac:dyDescent="0.3">
      <c r="A116" s="93">
        <v>102</v>
      </c>
      <c r="B116" s="93">
        <f t="shared" si="8"/>
        <v>81840</v>
      </c>
    </row>
    <row r="117" spans="1:2" x14ac:dyDescent="0.3">
      <c r="A117" s="93">
        <v>103</v>
      </c>
      <c r="B117" s="93">
        <f t="shared" si="8"/>
        <v>82660</v>
      </c>
    </row>
    <row r="118" spans="1:2" x14ac:dyDescent="0.3">
      <c r="A118" s="93">
        <v>104</v>
      </c>
      <c r="B118" s="93">
        <f t="shared" si="8"/>
        <v>83480</v>
      </c>
    </row>
    <row r="119" spans="1:2" x14ac:dyDescent="0.3">
      <c r="A119" s="93">
        <v>105</v>
      </c>
      <c r="B119" s="93">
        <f t="shared" si="8"/>
        <v>84300</v>
      </c>
    </row>
    <row r="120" spans="1:2" x14ac:dyDescent="0.3">
      <c r="A120" s="93">
        <v>106</v>
      </c>
      <c r="B120" s="93">
        <f t="shared" si="8"/>
        <v>85120</v>
      </c>
    </row>
    <row r="121" spans="1:2" x14ac:dyDescent="0.3">
      <c r="A121" s="93">
        <v>107</v>
      </c>
      <c r="B121" s="93">
        <f t="shared" si="8"/>
        <v>85940</v>
      </c>
    </row>
    <row r="122" spans="1:2" x14ac:dyDescent="0.3">
      <c r="A122" s="93">
        <v>108</v>
      </c>
      <c r="B122" s="93">
        <f t="shared" si="8"/>
        <v>86760</v>
      </c>
    </row>
    <row r="123" spans="1:2" x14ac:dyDescent="0.3">
      <c r="A123" s="93">
        <v>109</v>
      </c>
      <c r="B123" s="93">
        <f t="shared" si="8"/>
        <v>87580</v>
      </c>
    </row>
    <row r="124" spans="1:2" x14ac:dyDescent="0.3">
      <c r="A124" s="93">
        <v>110</v>
      </c>
      <c r="B124" s="93">
        <f t="shared" si="8"/>
        <v>88400</v>
      </c>
    </row>
    <row r="125" spans="1:2" x14ac:dyDescent="0.3">
      <c r="A125" s="93">
        <v>111</v>
      </c>
      <c r="B125" s="93">
        <f t="shared" si="8"/>
        <v>89220</v>
      </c>
    </row>
    <row r="126" spans="1:2" x14ac:dyDescent="0.3">
      <c r="A126" s="93">
        <v>112</v>
      </c>
      <c r="B126" s="93">
        <f t="shared" ref="B126:B157" si="9">B125+820</f>
        <v>90040</v>
      </c>
    </row>
    <row r="127" spans="1:2" x14ac:dyDescent="0.3">
      <c r="A127" s="93">
        <v>113</v>
      </c>
      <c r="B127" s="93">
        <f t="shared" si="9"/>
        <v>90860</v>
      </c>
    </row>
    <row r="128" spans="1:2" x14ac:dyDescent="0.3">
      <c r="A128" s="93">
        <v>114</v>
      </c>
      <c r="B128" s="93">
        <f t="shared" si="9"/>
        <v>91680</v>
      </c>
    </row>
    <row r="129" spans="1:2" x14ac:dyDescent="0.3">
      <c r="A129" s="93">
        <v>115</v>
      </c>
      <c r="B129" s="93">
        <f t="shared" si="9"/>
        <v>92500</v>
      </c>
    </row>
    <row r="130" spans="1:2" x14ac:dyDescent="0.3">
      <c r="A130" s="93">
        <v>116</v>
      </c>
      <c r="B130" s="93">
        <f t="shared" si="9"/>
        <v>93320</v>
      </c>
    </row>
    <row r="131" spans="1:2" x14ac:dyDescent="0.3">
      <c r="A131" s="93">
        <v>117</v>
      </c>
      <c r="B131" s="93">
        <f t="shared" si="9"/>
        <v>94140</v>
      </c>
    </row>
    <row r="132" spans="1:2" x14ac:dyDescent="0.3">
      <c r="A132" s="93">
        <v>118</v>
      </c>
      <c r="B132" s="93">
        <f t="shared" si="9"/>
        <v>94960</v>
      </c>
    </row>
    <row r="133" spans="1:2" x14ac:dyDescent="0.3">
      <c r="A133" s="93">
        <v>119</v>
      </c>
      <c r="B133" s="93">
        <f t="shared" si="9"/>
        <v>95780</v>
      </c>
    </row>
    <row r="134" spans="1:2" x14ac:dyDescent="0.3">
      <c r="A134" s="93">
        <v>120</v>
      </c>
      <c r="B134" s="93">
        <f t="shared" si="9"/>
        <v>96600</v>
      </c>
    </row>
    <row r="135" spans="1:2" x14ac:dyDescent="0.3">
      <c r="A135" s="93">
        <v>121</v>
      </c>
      <c r="B135" s="93">
        <f t="shared" si="9"/>
        <v>97420</v>
      </c>
    </row>
    <row r="136" spans="1:2" x14ac:dyDescent="0.3">
      <c r="A136" s="93">
        <v>122</v>
      </c>
      <c r="B136" s="93">
        <f t="shared" si="9"/>
        <v>98240</v>
      </c>
    </row>
    <row r="137" spans="1:2" x14ac:dyDescent="0.3">
      <c r="A137" s="93">
        <v>123</v>
      </c>
      <c r="B137" s="93">
        <f t="shared" si="9"/>
        <v>99060</v>
      </c>
    </row>
    <row r="138" spans="1:2" x14ac:dyDescent="0.3">
      <c r="A138" s="93">
        <v>124</v>
      </c>
      <c r="B138" s="93">
        <f t="shared" si="9"/>
        <v>99880</v>
      </c>
    </row>
    <row r="139" spans="1:2" x14ac:dyDescent="0.3">
      <c r="A139" s="93">
        <v>125</v>
      </c>
      <c r="B139" s="93">
        <f t="shared" si="9"/>
        <v>100700</v>
      </c>
    </row>
    <row r="140" spans="1:2" x14ac:dyDescent="0.3">
      <c r="A140" s="93">
        <v>126</v>
      </c>
      <c r="B140" s="93">
        <f t="shared" si="9"/>
        <v>101520</v>
      </c>
    </row>
    <row r="141" spans="1:2" x14ac:dyDescent="0.3">
      <c r="A141" s="93">
        <v>127</v>
      </c>
      <c r="B141" s="93">
        <f t="shared" si="9"/>
        <v>102340</v>
      </c>
    </row>
    <row r="142" spans="1:2" x14ac:dyDescent="0.3">
      <c r="A142" s="93">
        <v>128</v>
      </c>
      <c r="B142" s="93">
        <f t="shared" si="9"/>
        <v>103160</v>
      </c>
    </row>
    <row r="143" spans="1:2" x14ac:dyDescent="0.3">
      <c r="A143" s="93">
        <v>129</v>
      </c>
      <c r="B143" s="93">
        <f t="shared" si="9"/>
        <v>103980</v>
      </c>
    </row>
    <row r="144" spans="1:2" x14ac:dyDescent="0.3">
      <c r="A144" s="93">
        <v>130</v>
      </c>
      <c r="B144" s="93">
        <f t="shared" si="9"/>
        <v>104800</v>
      </c>
    </row>
    <row r="145" spans="1:2" x14ac:dyDescent="0.3">
      <c r="A145" s="93">
        <v>131</v>
      </c>
      <c r="B145" s="93">
        <f t="shared" si="9"/>
        <v>105620</v>
      </c>
    </row>
    <row r="146" spans="1:2" x14ac:dyDescent="0.3">
      <c r="A146" s="93">
        <v>132</v>
      </c>
      <c r="B146" s="93">
        <f t="shared" si="9"/>
        <v>106440</v>
      </c>
    </row>
    <row r="147" spans="1:2" x14ac:dyDescent="0.3">
      <c r="A147" s="93">
        <v>133</v>
      </c>
      <c r="B147" s="93">
        <f t="shared" si="9"/>
        <v>107260</v>
      </c>
    </row>
    <row r="148" spans="1:2" x14ac:dyDescent="0.3">
      <c r="A148" s="93">
        <v>134</v>
      </c>
      <c r="B148" s="93">
        <f t="shared" si="9"/>
        <v>108080</v>
      </c>
    </row>
    <row r="149" spans="1:2" x14ac:dyDescent="0.3">
      <c r="A149" s="93">
        <v>135</v>
      </c>
      <c r="B149" s="93">
        <f t="shared" si="9"/>
        <v>108900</v>
      </c>
    </row>
    <row r="150" spans="1:2" x14ac:dyDescent="0.3">
      <c r="A150" s="93">
        <v>136</v>
      </c>
      <c r="B150" s="93">
        <f t="shared" si="9"/>
        <v>109720</v>
      </c>
    </row>
    <row r="151" spans="1:2" x14ac:dyDescent="0.3">
      <c r="A151" s="93">
        <v>137</v>
      </c>
      <c r="B151" s="93">
        <f t="shared" si="9"/>
        <v>110540</v>
      </c>
    </row>
    <row r="152" spans="1:2" x14ac:dyDescent="0.3">
      <c r="A152" s="93">
        <v>138</v>
      </c>
      <c r="B152" s="93">
        <f t="shared" si="9"/>
        <v>111360</v>
      </c>
    </row>
    <row r="153" spans="1:2" x14ac:dyDescent="0.3">
      <c r="A153" s="93">
        <v>139</v>
      </c>
      <c r="B153" s="93">
        <f t="shared" si="9"/>
        <v>112180</v>
      </c>
    </row>
    <row r="154" spans="1:2" x14ac:dyDescent="0.3">
      <c r="A154" s="93">
        <v>140</v>
      </c>
      <c r="B154" s="93">
        <f t="shared" si="9"/>
        <v>113000</v>
      </c>
    </row>
    <row r="155" spans="1:2" x14ac:dyDescent="0.3">
      <c r="A155" s="93">
        <v>141</v>
      </c>
      <c r="B155" s="93">
        <f t="shared" si="9"/>
        <v>113820</v>
      </c>
    </row>
    <row r="156" spans="1:2" x14ac:dyDescent="0.3">
      <c r="A156" s="93">
        <v>142</v>
      </c>
      <c r="B156" s="93">
        <f t="shared" si="9"/>
        <v>114640</v>
      </c>
    </row>
    <row r="157" spans="1:2" x14ac:dyDescent="0.3">
      <c r="A157" s="93">
        <v>143</v>
      </c>
      <c r="B157" s="93">
        <f t="shared" si="9"/>
        <v>115460</v>
      </c>
    </row>
    <row r="158" spans="1:2" x14ac:dyDescent="0.3">
      <c r="A158" s="93">
        <v>144</v>
      </c>
      <c r="B158" s="93">
        <f t="shared" ref="B158:B189" si="10">B157+820</f>
        <v>116280</v>
      </c>
    </row>
    <row r="159" spans="1:2" x14ac:dyDescent="0.3">
      <c r="A159" s="93">
        <v>145</v>
      </c>
      <c r="B159" s="93">
        <f t="shared" si="10"/>
        <v>117100</v>
      </c>
    </row>
    <row r="160" spans="1:2" x14ac:dyDescent="0.3">
      <c r="A160" s="93">
        <v>146</v>
      </c>
      <c r="B160" s="93">
        <f t="shared" si="10"/>
        <v>117920</v>
      </c>
    </row>
    <row r="161" spans="1:2" x14ac:dyDescent="0.3">
      <c r="A161" s="93">
        <v>147</v>
      </c>
      <c r="B161" s="93">
        <f t="shared" si="10"/>
        <v>118740</v>
      </c>
    </row>
    <row r="162" spans="1:2" x14ac:dyDescent="0.3">
      <c r="A162" s="93">
        <v>148</v>
      </c>
      <c r="B162" s="93">
        <f t="shared" si="10"/>
        <v>119560</v>
      </c>
    </row>
    <row r="163" spans="1:2" x14ac:dyDescent="0.3">
      <c r="A163" s="93">
        <v>149</v>
      </c>
      <c r="B163" s="93">
        <f t="shared" si="10"/>
        <v>120380</v>
      </c>
    </row>
    <row r="164" spans="1:2" x14ac:dyDescent="0.3">
      <c r="A164" s="93">
        <v>150</v>
      </c>
      <c r="B164" s="93">
        <f t="shared" si="10"/>
        <v>121200</v>
      </c>
    </row>
    <row r="165" spans="1:2" x14ac:dyDescent="0.3">
      <c r="A165" s="93">
        <v>151</v>
      </c>
      <c r="B165" s="93">
        <f t="shared" si="10"/>
        <v>122020</v>
      </c>
    </row>
    <row r="166" spans="1:2" x14ac:dyDescent="0.3">
      <c r="A166" s="93">
        <v>152</v>
      </c>
      <c r="B166" s="93">
        <f t="shared" si="10"/>
        <v>122840</v>
      </c>
    </row>
    <row r="167" spans="1:2" x14ac:dyDescent="0.3">
      <c r="A167" s="93">
        <v>153</v>
      </c>
      <c r="B167" s="93">
        <f t="shared" si="10"/>
        <v>123660</v>
      </c>
    </row>
    <row r="168" spans="1:2" x14ac:dyDescent="0.3">
      <c r="A168" s="93">
        <v>154</v>
      </c>
      <c r="B168" s="93">
        <f t="shared" si="10"/>
        <v>124480</v>
      </c>
    </row>
    <row r="169" spans="1:2" x14ac:dyDescent="0.3">
      <c r="A169" s="93">
        <v>155</v>
      </c>
      <c r="B169" s="93">
        <f t="shared" si="10"/>
        <v>125300</v>
      </c>
    </row>
    <row r="170" spans="1:2" x14ac:dyDescent="0.3">
      <c r="A170" s="93">
        <v>156</v>
      </c>
      <c r="B170" s="93">
        <f t="shared" si="10"/>
        <v>126120</v>
      </c>
    </row>
    <row r="171" spans="1:2" x14ac:dyDescent="0.3">
      <c r="A171" s="93">
        <v>157</v>
      </c>
      <c r="B171" s="93">
        <f t="shared" si="10"/>
        <v>126940</v>
      </c>
    </row>
    <row r="172" spans="1:2" x14ac:dyDescent="0.3">
      <c r="A172" s="93">
        <v>158</v>
      </c>
      <c r="B172" s="93">
        <f t="shared" si="10"/>
        <v>127760</v>
      </c>
    </row>
    <row r="173" spans="1:2" x14ac:dyDescent="0.3">
      <c r="A173" s="93">
        <v>159</v>
      </c>
      <c r="B173" s="93">
        <f t="shared" si="10"/>
        <v>128580</v>
      </c>
    </row>
    <row r="174" spans="1:2" x14ac:dyDescent="0.3">
      <c r="A174" s="93">
        <v>160</v>
      </c>
      <c r="B174" s="93">
        <f t="shared" si="10"/>
        <v>129400</v>
      </c>
    </row>
    <row r="175" spans="1:2" x14ac:dyDescent="0.3">
      <c r="A175" s="93">
        <v>161</v>
      </c>
      <c r="B175" s="93">
        <f t="shared" si="10"/>
        <v>130220</v>
      </c>
    </row>
    <row r="176" spans="1:2" x14ac:dyDescent="0.3">
      <c r="A176" s="93">
        <v>162</v>
      </c>
      <c r="B176" s="93">
        <f t="shared" si="10"/>
        <v>131040</v>
      </c>
    </row>
    <row r="177" spans="1:2" x14ac:dyDescent="0.3">
      <c r="A177" s="93">
        <v>163</v>
      </c>
      <c r="B177" s="93">
        <f t="shared" si="10"/>
        <v>131860</v>
      </c>
    </row>
    <row r="178" spans="1:2" x14ac:dyDescent="0.3">
      <c r="A178" s="93">
        <v>164</v>
      </c>
      <c r="B178" s="93">
        <f t="shared" si="10"/>
        <v>132680</v>
      </c>
    </row>
    <row r="179" spans="1:2" x14ac:dyDescent="0.3">
      <c r="A179" s="93">
        <v>165</v>
      </c>
      <c r="B179" s="93">
        <f t="shared" si="10"/>
        <v>133500</v>
      </c>
    </row>
    <row r="180" spans="1:2" x14ac:dyDescent="0.3">
      <c r="A180" s="93">
        <v>166</v>
      </c>
      <c r="B180" s="93">
        <f t="shared" si="10"/>
        <v>134320</v>
      </c>
    </row>
    <row r="181" spans="1:2" x14ac:dyDescent="0.3">
      <c r="A181" s="93">
        <v>167</v>
      </c>
      <c r="B181" s="93">
        <f t="shared" si="10"/>
        <v>135140</v>
      </c>
    </row>
    <row r="182" spans="1:2" x14ac:dyDescent="0.3">
      <c r="A182" s="93">
        <v>168</v>
      </c>
      <c r="B182" s="93">
        <f t="shared" si="10"/>
        <v>135960</v>
      </c>
    </row>
    <row r="183" spans="1:2" x14ac:dyDescent="0.3">
      <c r="A183" s="93">
        <v>169</v>
      </c>
      <c r="B183" s="93">
        <f t="shared" si="10"/>
        <v>136780</v>
      </c>
    </row>
    <row r="184" spans="1:2" x14ac:dyDescent="0.3">
      <c r="A184" s="93">
        <v>170</v>
      </c>
      <c r="B184" s="93">
        <f t="shared" si="10"/>
        <v>137600</v>
      </c>
    </row>
    <row r="185" spans="1:2" x14ac:dyDescent="0.3">
      <c r="A185" s="93">
        <v>171</v>
      </c>
      <c r="B185" s="93">
        <f t="shared" si="10"/>
        <v>138420</v>
      </c>
    </row>
    <row r="186" spans="1:2" x14ac:dyDescent="0.3">
      <c r="A186" s="93">
        <v>172</v>
      </c>
      <c r="B186" s="93">
        <f t="shared" si="10"/>
        <v>139240</v>
      </c>
    </row>
    <row r="187" spans="1:2" x14ac:dyDescent="0.3">
      <c r="A187" s="93">
        <v>173</v>
      </c>
      <c r="B187" s="93">
        <f t="shared" si="10"/>
        <v>140060</v>
      </c>
    </row>
    <row r="188" spans="1:2" x14ac:dyDescent="0.3">
      <c r="A188" s="93">
        <v>174</v>
      </c>
      <c r="B188" s="93">
        <f t="shared" si="10"/>
        <v>140880</v>
      </c>
    </row>
    <row r="189" spans="1:2" x14ac:dyDescent="0.3">
      <c r="A189" s="93">
        <v>175</v>
      </c>
      <c r="B189" s="93">
        <f t="shared" si="10"/>
        <v>141700</v>
      </c>
    </row>
    <row r="190" spans="1:2" x14ac:dyDescent="0.3">
      <c r="A190" s="93">
        <v>176</v>
      </c>
      <c r="B190" s="93">
        <f t="shared" ref="B190:B213" si="11">B189+820</f>
        <v>142520</v>
      </c>
    </row>
    <row r="191" spans="1:2" x14ac:dyDescent="0.3">
      <c r="A191" s="93">
        <v>177</v>
      </c>
      <c r="B191" s="93">
        <f t="shared" si="11"/>
        <v>143340</v>
      </c>
    </row>
    <row r="192" spans="1:2" x14ac:dyDescent="0.3">
      <c r="A192" s="93">
        <v>178</v>
      </c>
      <c r="B192" s="93">
        <f t="shared" si="11"/>
        <v>144160</v>
      </c>
    </row>
    <row r="193" spans="1:2" x14ac:dyDescent="0.3">
      <c r="A193" s="93">
        <v>179</v>
      </c>
      <c r="B193" s="93">
        <f t="shared" si="11"/>
        <v>144980</v>
      </c>
    </row>
    <row r="194" spans="1:2" x14ac:dyDescent="0.3">
      <c r="A194" s="93">
        <v>180</v>
      </c>
      <c r="B194" s="93">
        <f t="shared" si="11"/>
        <v>145800</v>
      </c>
    </row>
    <row r="195" spans="1:2" x14ac:dyDescent="0.3">
      <c r="A195" s="93">
        <v>181</v>
      </c>
      <c r="B195" s="93">
        <f t="shared" si="11"/>
        <v>146620</v>
      </c>
    </row>
    <row r="196" spans="1:2" x14ac:dyDescent="0.3">
      <c r="A196" s="93">
        <v>182</v>
      </c>
      <c r="B196" s="93">
        <f t="shared" si="11"/>
        <v>147440</v>
      </c>
    </row>
    <row r="197" spans="1:2" x14ac:dyDescent="0.3">
      <c r="A197" s="93">
        <v>183</v>
      </c>
      <c r="B197" s="93">
        <f t="shared" si="11"/>
        <v>148260</v>
      </c>
    </row>
    <row r="198" spans="1:2" x14ac:dyDescent="0.3">
      <c r="A198" s="93">
        <v>184</v>
      </c>
      <c r="B198" s="93">
        <f t="shared" si="11"/>
        <v>149080</v>
      </c>
    </row>
    <row r="199" spans="1:2" x14ac:dyDescent="0.3">
      <c r="A199" s="93">
        <v>185</v>
      </c>
      <c r="B199" s="93">
        <f t="shared" si="11"/>
        <v>149900</v>
      </c>
    </row>
    <row r="200" spans="1:2" x14ac:dyDescent="0.3">
      <c r="A200" s="93">
        <v>186</v>
      </c>
      <c r="B200" s="93">
        <f t="shared" si="11"/>
        <v>150720</v>
      </c>
    </row>
    <row r="201" spans="1:2" x14ac:dyDescent="0.3">
      <c r="A201" s="93">
        <v>187</v>
      </c>
      <c r="B201" s="93">
        <f t="shared" si="11"/>
        <v>151540</v>
      </c>
    </row>
    <row r="202" spans="1:2" x14ac:dyDescent="0.3">
      <c r="A202" s="93">
        <v>188</v>
      </c>
      <c r="B202" s="93">
        <f t="shared" si="11"/>
        <v>152360</v>
      </c>
    </row>
    <row r="203" spans="1:2" x14ac:dyDescent="0.3">
      <c r="A203" s="93">
        <v>189</v>
      </c>
      <c r="B203" s="93">
        <f t="shared" si="11"/>
        <v>153180</v>
      </c>
    </row>
    <row r="204" spans="1:2" x14ac:dyDescent="0.3">
      <c r="A204" s="93">
        <v>190</v>
      </c>
      <c r="B204" s="93">
        <f t="shared" si="11"/>
        <v>154000</v>
      </c>
    </row>
    <row r="205" spans="1:2" x14ac:dyDescent="0.3">
      <c r="A205" s="93">
        <v>191</v>
      </c>
      <c r="B205" s="93">
        <f t="shared" si="11"/>
        <v>154820</v>
      </c>
    </row>
    <row r="206" spans="1:2" x14ac:dyDescent="0.3">
      <c r="A206" s="93">
        <v>192</v>
      </c>
      <c r="B206" s="93">
        <f t="shared" si="11"/>
        <v>155640</v>
      </c>
    </row>
    <row r="207" spans="1:2" x14ac:dyDescent="0.3">
      <c r="A207" s="93">
        <v>193</v>
      </c>
      <c r="B207" s="93">
        <f t="shared" si="11"/>
        <v>156460</v>
      </c>
    </row>
    <row r="208" spans="1:2" x14ac:dyDescent="0.3">
      <c r="A208" s="93">
        <v>194</v>
      </c>
      <c r="B208" s="93">
        <f t="shared" si="11"/>
        <v>157280</v>
      </c>
    </row>
    <row r="209" spans="1:2" x14ac:dyDescent="0.3">
      <c r="A209" s="93">
        <v>195</v>
      </c>
      <c r="B209" s="93">
        <f t="shared" si="11"/>
        <v>158100</v>
      </c>
    </row>
    <row r="210" spans="1:2" x14ac:dyDescent="0.3">
      <c r="A210" s="93">
        <v>196</v>
      </c>
      <c r="B210" s="93">
        <f t="shared" si="11"/>
        <v>158920</v>
      </c>
    </row>
    <row r="211" spans="1:2" x14ac:dyDescent="0.3">
      <c r="A211" s="93">
        <v>197</v>
      </c>
      <c r="B211" s="93">
        <f t="shared" si="11"/>
        <v>159740</v>
      </c>
    </row>
    <row r="212" spans="1:2" x14ac:dyDescent="0.3">
      <c r="A212" s="93">
        <v>198</v>
      </c>
      <c r="B212" s="93">
        <f t="shared" si="11"/>
        <v>160560</v>
      </c>
    </row>
    <row r="213" spans="1:2" x14ac:dyDescent="0.3">
      <c r="A213" s="93">
        <v>199</v>
      </c>
      <c r="B213" s="93">
        <f t="shared" si="11"/>
        <v>161380</v>
      </c>
    </row>
    <row r="214" spans="1:2" x14ac:dyDescent="0.3">
      <c r="A214" s="94">
        <v>200</v>
      </c>
      <c r="B214" s="94">
        <f t="shared" ref="B214:B236" si="12">B213+700</f>
        <v>162080</v>
      </c>
    </row>
    <row r="215" spans="1:2" x14ac:dyDescent="0.3">
      <c r="A215" s="94">
        <v>201</v>
      </c>
      <c r="B215" s="94">
        <f t="shared" si="12"/>
        <v>162780</v>
      </c>
    </row>
    <row r="216" spans="1:2" x14ac:dyDescent="0.3">
      <c r="A216" s="94">
        <v>202</v>
      </c>
      <c r="B216" s="94">
        <f t="shared" si="12"/>
        <v>163480</v>
      </c>
    </row>
    <row r="217" spans="1:2" x14ac:dyDescent="0.3">
      <c r="A217" s="94">
        <v>203</v>
      </c>
      <c r="B217" s="94">
        <f t="shared" si="12"/>
        <v>164180</v>
      </c>
    </row>
    <row r="218" spans="1:2" x14ac:dyDescent="0.3">
      <c r="A218" s="94">
        <v>204</v>
      </c>
      <c r="B218" s="94">
        <f t="shared" si="12"/>
        <v>164880</v>
      </c>
    </row>
    <row r="219" spans="1:2" x14ac:dyDescent="0.3">
      <c r="A219" s="94">
        <v>205</v>
      </c>
      <c r="B219" s="94">
        <f t="shared" si="12"/>
        <v>165580</v>
      </c>
    </row>
    <row r="220" spans="1:2" x14ac:dyDescent="0.3">
      <c r="A220" s="94">
        <v>206</v>
      </c>
      <c r="B220" s="94">
        <f t="shared" si="12"/>
        <v>166280</v>
      </c>
    </row>
    <row r="221" spans="1:2" x14ac:dyDescent="0.3">
      <c r="A221" s="94">
        <v>207</v>
      </c>
      <c r="B221" s="94">
        <f t="shared" si="12"/>
        <v>166980</v>
      </c>
    </row>
    <row r="222" spans="1:2" x14ac:dyDescent="0.3">
      <c r="A222" s="94">
        <v>208</v>
      </c>
      <c r="B222" s="94">
        <f t="shared" si="12"/>
        <v>167680</v>
      </c>
    </row>
    <row r="223" spans="1:2" x14ac:dyDescent="0.3">
      <c r="A223" s="94">
        <v>209</v>
      </c>
      <c r="B223" s="94">
        <f t="shared" si="12"/>
        <v>168380</v>
      </c>
    </row>
    <row r="224" spans="1:2" x14ac:dyDescent="0.3">
      <c r="A224" s="94">
        <v>210</v>
      </c>
      <c r="B224" s="94">
        <f t="shared" si="12"/>
        <v>169080</v>
      </c>
    </row>
    <row r="225" spans="1:2" x14ac:dyDescent="0.3">
      <c r="A225" s="94">
        <v>211</v>
      </c>
      <c r="B225" s="94">
        <f t="shared" si="12"/>
        <v>169780</v>
      </c>
    </row>
    <row r="226" spans="1:2" x14ac:dyDescent="0.3">
      <c r="A226" s="94">
        <v>212</v>
      </c>
      <c r="B226" s="94">
        <f t="shared" si="12"/>
        <v>170480</v>
      </c>
    </row>
    <row r="227" spans="1:2" x14ac:dyDescent="0.3">
      <c r="A227" s="94">
        <v>213</v>
      </c>
      <c r="B227" s="94">
        <f t="shared" si="12"/>
        <v>171180</v>
      </c>
    </row>
    <row r="228" spans="1:2" x14ac:dyDescent="0.3">
      <c r="A228" s="94">
        <v>214</v>
      </c>
      <c r="B228" s="94">
        <f t="shared" si="12"/>
        <v>171880</v>
      </c>
    </row>
    <row r="229" spans="1:2" x14ac:dyDescent="0.3">
      <c r="A229" s="94">
        <v>215</v>
      </c>
      <c r="B229" s="94">
        <f t="shared" si="12"/>
        <v>172580</v>
      </c>
    </row>
    <row r="230" spans="1:2" x14ac:dyDescent="0.3">
      <c r="A230" s="94">
        <v>216</v>
      </c>
      <c r="B230" s="94">
        <f t="shared" si="12"/>
        <v>173280</v>
      </c>
    </row>
    <row r="231" spans="1:2" x14ac:dyDescent="0.3">
      <c r="A231" s="94">
        <v>217</v>
      </c>
      <c r="B231" s="94">
        <f t="shared" si="12"/>
        <v>173980</v>
      </c>
    </row>
    <row r="232" spans="1:2" x14ac:dyDescent="0.3">
      <c r="A232" s="94">
        <v>218</v>
      </c>
      <c r="B232" s="94">
        <f t="shared" si="12"/>
        <v>174680</v>
      </c>
    </row>
    <row r="233" spans="1:2" x14ac:dyDescent="0.3">
      <c r="A233" s="94">
        <v>219</v>
      </c>
      <c r="B233" s="94">
        <f t="shared" si="12"/>
        <v>175380</v>
      </c>
    </row>
    <row r="234" spans="1:2" x14ac:dyDescent="0.3">
      <c r="A234" s="94">
        <v>220</v>
      </c>
      <c r="B234" s="94">
        <f t="shared" si="12"/>
        <v>176080</v>
      </c>
    </row>
    <row r="235" spans="1:2" x14ac:dyDescent="0.3">
      <c r="A235" s="94">
        <v>221</v>
      </c>
      <c r="B235" s="94">
        <f t="shared" si="12"/>
        <v>176780</v>
      </c>
    </row>
    <row r="236" spans="1:2" x14ac:dyDescent="0.3">
      <c r="A236" s="94">
        <v>222</v>
      </c>
      <c r="B236" s="94">
        <f t="shared" si="12"/>
        <v>177480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67"/>
  <sheetViews>
    <sheetView topLeftCell="A28" zoomScaleNormal="100" workbookViewId="0">
      <selection activeCell="I36" sqref="I36"/>
    </sheetView>
  </sheetViews>
  <sheetFormatPr defaultRowHeight="16.5" x14ac:dyDescent="0.3"/>
  <cols>
    <col min="1" max="2" width="12.625" customWidth="1"/>
    <col min="3" max="6" width="12.625" style="1" customWidth="1"/>
    <col min="7" max="7" width="12.375" style="1" customWidth="1"/>
    <col min="8" max="9" width="11.625" customWidth="1"/>
    <col min="10" max="14" width="10.75" customWidth="1"/>
    <col min="15" max="1025" width="8.625" customWidth="1"/>
  </cols>
  <sheetData>
    <row r="2" spans="1:11" x14ac:dyDescent="0.3">
      <c r="A2" s="19" t="s">
        <v>68</v>
      </c>
      <c r="B2" s="1"/>
      <c r="E2" s="20" t="s">
        <v>155</v>
      </c>
      <c r="H2" s="1"/>
      <c r="I2" t="s">
        <v>156</v>
      </c>
    </row>
    <row r="3" spans="1:11" x14ac:dyDescent="0.3">
      <c r="A3" s="24" t="s">
        <v>70</v>
      </c>
      <c r="B3" s="24" t="s">
        <v>71</v>
      </c>
      <c r="C3" s="24" t="s">
        <v>72</v>
      </c>
      <c r="D3" s="1">
        <v>1</v>
      </c>
      <c r="E3" s="66" t="s">
        <v>76</v>
      </c>
      <c r="F3" s="66" t="s">
        <v>79</v>
      </c>
      <c r="G3" s="24" t="s">
        <v>82</v>
      </c>
      <c r="H3" s="24" t="s">
        <v>157</v>
      </c>
      <c r="I3" s="24" t="s">
        <v>77</v>
      </c>
      <c r="J3" s="24" t="s">
        <v>80</v>
      </c>
      <c r="K3" s="24" t="s">
        <v>88</v>
      </c>
    </row>
    <row r="4" spans="1:11" x14ac:dyDescent="0.3">
      <c r="A4" s="13" t="s">
        <v>150</v>
      </c>
      <c r="B4" s="25">
        <v>35.94</v>
      </c>
      <c r="C4" s="53">
        <v>0</v>
      </c>
      <c r="D4" s="1">
        <v>2</v>
      </c>
      <c r="E4" s="53"/>
      <c r="F4" s="4">
        <v>436.6</v>
      </c>
      <c r="G4" s="4"/>
      <c r="H4" s="5"/>
      <c r="I4" s="5"/>
      <c r="J4" s="5"/>
      <c r="K4" s="5"/>
    </row>
    <row r="5" spans="1:11" x14ac:dyDescent="0.3">
      <c r="A5" s="13" t="s">
        <v>149</v>
      </c>
      <c r="B5" s="25">
        <v>33.340000000000003</v>
      </c>
      <c r="C5" s="53">
        <v>0</v>
      </c>
      <c r="D5" s="1">
        <v>3</v>
      </c>
      <c r="E5" s="53"/>
      <c r="F5" s="4"/>
      <c r="G5" s="4"/>
      <c r="H5" s="5"/>
      <c r="I5" s="5"/>
      <c r="J5" s="5"/>
      <c r="K5" s="5"/>
    </row>
    <row r="6" spans="1:11" x14ac:dyDescent="0.3">
      <c r="A6" s="4" t="s">
        <v>148</v>
      </c>
      <c r="B6" s="25">
        <v>31.07</v>
      </c>
      <c r="C6" s="10">
        <f t="shared" ref="C6:C11" si="0">K6</f>
        <v>1156.44</v>
      </c>
      <c r="D6" s="1">
        <v>4</v>
      </c>
      <c r="E6" s="53">
        <v>267.8</v>
      </c>
      <c r="F6" s="4"/>
      <c r="G6" s="4">
        <v>52.04</v>
      </c>
      <c r="H6" s="5"/>
      <c r="I6" s="4">
        <v>200</v>
      </c>
      <c r="J6" s="4">
        <v>200</v>
      </c>
      <c r="K6" s="67">
        <f>SUM(E4:J6)</f>
        <v>1156.44</v>
      </c>
    </row>
    <row r="7" spans="1:11" x14ac:dyDescent="0.3">
      <c r="A7" s="4" t="s">
        <v>85</v>
      </c>
      <c r="B7" s="25">
        <v>28.8</v>
      </c>
      <c r="C7" s="10">
        <f t="shared" si="0"/>
        <v>876.6</v>
      </c>
      <c r="D7" s="1">
        <v>5</v>
      </c>
      <c r="E7" s="10"/>
      <c r="F7" s="4"/>
      <c r="G7" s="4"/>
      <c r="H7" s="4">
        <f>730.5*120%</f>
        <v>876.6</v>
      </c>
      <c r="I7" s="5"/>
      <c r="J7" s="5"/>
      <c r="K7" s="67">
        <f>SUM(E7:J7)</f>
        <v>876.6</v>
      </c>
    </row>
    <row r="8" spans="1:11" x14ac:dyDescent="0.3">
      <c r="A8" s="4" t="s">
        <v>83</v>
      </c>
      <c r="B8" s="25">
        <v>26.4</v>
      </c>
      <c r="C8" s="10">
        <f t="shared" si="0"/>
        <v>561</v>
      </c>
      <c r="D8" s="1">
        <v>6</v>
      </c>
      <c r="E8" s="10"/>
      <c r="F8" s="4"/>
      <c r="G8" s="4"/>
      <c r="H8" s="4">
        <f>467.5*120%</f>
        <v>561</v>
      </c>
      <c r="I8" s="5"/>
      <c r="J8" s="5"/>
      <c r="K8" s="67">
        <f>SUM(E8:J8)</f>
        <v>561</v>
      </c>
    </row>
    <row r="9" spans="1:11" x14ac:dyDescent="0.3">
      <c r="A9" s="4" t="s">
        <v>81</v>
      </c>
      <c r="B9" s="25">
        <v>23.68</v>
      </c>
      <c r="C9" s="10">
        <f t="shared" si="0"/>
        <v>529.07000000000005</v>
      </c>
      <c r="D9" s="1">
        <v>7</v>
      </c>
      <c r="E9" s="10"/>
      <c r="F9" s="4"/>
      <c r="G9" s="4">
        <v>422.7</v>
      </c>
      <c r="H9" s="4">
        <f>96.7*110%</f>
        <v>106.37000000000002</v>
      </c>
      <c r="I9" s="5"/>
      <c r="J9" s="5"/>
      <c r="K9" s="67">
        <f>SUM(E9:J9)</f>
        <v>529.07000000000005</v>
      </c>
    </row>
    <row r="10" spans="1:11" x14ac:dyDescent="0.3">
      <c r="A10" s="4" t="s">
        <v>78</v>
      </c>
      <c r="B10" s="25">
        <v>20.94</v>
      </c>
      <c r="C10" s="10">
        <f t="shared" si="0"/>
        <v>686.64</v>
      </c>
      <c r="D10" s="1">
        <v>8</v>
      </c>
      <c r="E10" s="10"/>
      <c r="F10" s="4"/>
      <c r="G10" s="4"/>
      <c r="H10" s="4">
        <f>572.2*120%</f>
        <v>686.64</v>
      </c>
      <c r="I10" s="5"/>
      <c r="J10" s="5"/>
      <c r="K10" s="67">
        <f>SUM(E10:J10)</f>
        <v>686.64</v>
      </c>
    </row>
    <row r="11" spans="1:11" x14ac:dyDescent="0.3">
      <c r="A11" s="4" t="s">
        <v>75</v>
      </c>
      <c r="B11" s="25">
        <v>17.945</v>
      </c>
      <c r="C11" s="68">
        <f t="shared" si="0"/>
        <v>558.74</v>
      </c>
      <c r="D11" s="1">
        <v>9</v>
      </c>
      <c r="E11" s="10"/>
      <c r="F11" s="4"/>
      <c r="G11" s="4">
        <v>454.1</v>
      </c>
      <c r="H11" s="4">
        <f>87.2*120%</f>
        <v>104.64</v>
      </c>
      <c r="I11" s="5"/>
      <c r="J11" s="5"/>
      <c r="K11" s="67">
        <f>SUM(E11:J11)</f>
        <v>558.74</v>
      </c>
    </row>
    <row r="12" spans="1:11" x14ac:dyDescent="0.3">
      <c r="A12" s="4" t="s">
        <v>147</v>
      </c>
      <c r="B12" s="25">
        <f>14400/1000</f>
        <v>14.4</v>
      </c>
      <c r="C12" s="4">
        <v>0</v>
      </c>
      <c r="D12" s="1">
        <v>10</v>
      </c>
      <c r="E12" s="10"/>
      <c r="F12" s="4"/>
      <c r="G12" s="4"/>
      <c r="H12" s="5"/>
      <c r="I12" s="5"/>
      <c r="J12" s="5"/>
      <c r="K12" s="5"/>
    </row>
    <row r="13" spans="1:11" x14ac:dyDescent="0.3">
      <c r="A13" s="4" t="s">
        <v>146</v>
      </c>
      <c r="B13" s="25">
        <f>10750/1000</f>
        <v>10.75</v>
      </c>
      <c r="C13" s="4">
        <v>0</v>
      </c>
      <c r="D13" s="1">
        <v>11</v>
      </c>
      <c r="E13" s="10"/>
      <c r="F13" s="4"/>
      <c r="G13" s="4"/>
      <c r="H13" s="5"/>
      <c r="I13" s="5"/>
      <c r="J13" s="5"/>
      <c r="K13" s="5"/>
    </row>
    <row r="14" spans="1:11" x14ac:dyDescent="0.3">
      <c r="A14" s="4" t="s">
        <v>145</v>
      </c>
      <c r="B14" s="25">
        <f>7810/1000</f>
        <v>7.81</v>
      </c>
      <c r="C14" s="4">
        <v>0</v>
      </c>
      <c r="D14" s="1">
        <v>12</v>
      </c>
      <c r="E14" s="10"/>
      <c r="F14" s="4"/>
      <c r="G14" s="4"/>
      <c r="H14" s="5"/>
      <c r="I14" s="5"/>
      <c r="J14" s="5"/>
      <c r="K14" s="5"/>
    </row>
    <row r="15" spans="1:11" x14ac:dyDescent="0.3">
      <c r="A15" s="4" t="s">
        <v>144</v>
      </c>
      <c r="B15" s="25">
        <f>4920/1000</f>
        <v>4.92</v>
      </c>
      <c r="C15" s="4">
        <v>0</v>
      </c>
      <c r="D15" s="1">
        <v>13</v>
      </c>
      <c r="E15" s="10"/>
      <c r="F15" s="4"/>
      <c r="G15" s="4"/>
      <c r="H15" s="5"/>
      <c r="I15" s="5"/>
      <c r="J15" s="5"/>
      <c r="K15" s="5"/>
    </row>
    <row r="16" spans="1:11" x14ac:dyDescent="0.3">
      <c r="A16" s="4" t="s">
        <v>143</v>
      </c>
      <c r="B16" s="25">
        <f>2100/1000</f>
        <v>2.1</v>
      </c>
      <c r="C16" s="4">
        <v>0</v>
      </c>
      <c r="D16" s="1">
        <v>14</v>
      </c>
      <c r="E16" s="10"/>
      <c r="F16" s="4"/>
      <c r="G16" s="4"/>
      <c r="H16" s="5"/>
      <c r="I16" s="5"/>
      <c r="J16" s="5"/>
      <c r="K16" s="5"/>
    </row>
    <row r="17" spans="1:12" x14ac:dyDescent="0.3">
      <c r="A17" s="24" t="s">
        <v>88</v>
      </c>
      <c r="B17" s="24"/>
      <c r="C17" s="24">
        <f>SUM(C6:C16)</f>
        <v>4368.49</v>
      </c>
      <c r="E17" s="24"/>
      <c r="F17" s="24"/>
      <c r="G17" s="24"/>
      <c r="H17" s="24"/>
      <c r="I17" s="24"/>
      <c r="J17" s="24"/>
      <c r="K17" s="24"/>
    </row>
    <row r="19" spans="1:12" x14ac:dyDescent="0.3">
      <c r="A19" s="19" t="s">
        <v>90</v>
      </c>
    </row>
    <row r="20" spans="1:12" x14ac:dyDescent="0.3">
      <c r="A20" s="128" t="s">
        <v>189</v>
      </c>
      <c r="B20" s="128"/>
      <c r="C20" s="128"/>
      <c r="D20" s="128"/>
      <c r="E20" s="128"/>
      <c r="F20" s="128"/>
      <c r="G20" s="128"/>
      <c r="H20" s="24" t="s">
        <v>92</v>
      </c>
      <c r="I20" s="24" t="s">
        <v>93</v>
      </c>
      <c r="J20" s="24" t="s">
        <v>95</v>
      </c>
      <c r="K20" s="24" t="s">
        <v>96</v>
      </c>
      <c r="L20" s="24" t="s">
        <v>97</v>
      </c>
    </row>
    <row r="21" spans="1:12" x14ac:dyDescent="0.3">
      <c r="A21" s="49" t="s">
        <v>100</v>
      </c>
      <c r="B21" s="50"/>
      <c r="C21" s="95"/>
      <c r="D21" s="95"/>
      <c r="E21" s="95"/>
      <c r="F21" s="95"/>
      <c r="G21" s="96"/>
      <c r="H21" s="4">
        <v>8.7200000000000006</v>
      </c>
      <c r="I21" s="4">
        <v>1.48</v>
      </c>
      <c r="J21" s="10">
        <v>12983</v>
      </c>
      <c r="K21" s="10">
        <v>12806</v>
      </c>
      <c r="L21" s="10">
        <f t="shared" ref="L21:L32" si="1">J21+K21</f>
        <v>25789</v>
      </c>
    </row>
    <row r="22" spans="1:12" x14ac:dyDescent="0.3">
      <c r="A22" s="49" t="s">
        <v>102</v>
      </c>
      <c r="B22" s="95"/>
      <c r="C22" s="95"/>
      <c r="D22" s="95"/>
      <c r="E22" s="95"/>
      <c r="F22" s="95"/>
      <c r="G22" s="96"/>
      <c r="H22" s="4">
        <v>8.7200000000000006</v>
      </c>
      <c r="I22" s="4">
        <v>1.97</v>
      </c>
      <c r="J22" s="10">
        <v>12983</v>
      </c>
      <c r="K22" s="10">
        <v>12806</v>
      </c>
      <c r="L22" s="10">
        <f t="shared" si="1"/>
        <v>25789</v>
      </c>
    </row>
    <row r="23" spans="1:12" x14ac:dyDescent="0.3">
      <c r="A23" s="49" t="s">
        <v>104</v>
      </c>
      <c r="B23" s="95"/>
      <c r="C23" s="95"/>
      <c r="D23" s="95"/>
      <c r="E23" s="95"/>
      <c r="F23" s="95"/>
      <c r="G23" s="96"/>
      <c r="H23" s="4">
        <v>8.7200000000000006</v>
      </c>
      <c r="I23" s="4">
        <v>1.48</v>
      </c>
      <c r="J23" s="10">
        <v>12983</v>
      </c>
      <c r="K23" s="10">
        <v>12806</v>
      </c>
      <c r="L23" s="10">
        <f t="shared" si="1"/>
        <v>25789</v>
      </c>
    </row>
    <row r="24" spans="1:12" x14ac:dyDescent="0.3">
      <c r="A24" s="49" t="s">
        <v>106</v>
      </c>
      <c r="B24" s="95"/>
      <c r="C24" s="95"/>
      <c r="D24" s="95"/>
      <c r="E24" s="95"/>
      <c r="F24" s="95"/>
      <c r="G24" s="96"/>
      <c r="H24" s="4">
        <v>8.7200000000000006</v>
      </c>
      <c r="I24" s="4">
        <v>1.76</v>
      </c>
      <c r="J24" s="10">
        <v>12983</v>
      </c>
      <c r="K24" s="10">
        <v>12806</v>
      </c>
      <c r="L24" s="10">
        <f t="shared" si="1"/>
        <v>25789</v>
      </c>
    </row>
    <row r="25" spans="1:12" x14ac:dyDescent="0.3">
      <c r="A25" s="49" t="s">
        <v>108</v>
      </c>
      <c r="B25" s="95"/>
      <c r="C25" s="95"/>
      <c r="D25" s="95"/>
      <c r="E25" s="95"/>
      <c r="F25" s="95"/>
      <c r="G25" s="96"/>
      <c r="H25" s="4">
        <v>8.7200000000000006</v>
      </c>
      <c r="I25" s="4">
        <v>2.1</v>
      </c>
      <c r="J25" s="10">
        <v>12983</v>
      </c>
      <c r="K25" s="10">
        <v>12806</v>
      </c>
      <c r="L25" s="10">
        <f t="shared" si="1"/>
        <v>25789</v>
      </c>
    </row>
    <row r="26" spans="1:12" x14ac:dyDescent="0.3">
      <c r="A26" s="49" t="s">
        <v>159</v>
      </c>
      <c r="B26" s="95"/>
      <c r="C26" s="95"/>
      <c r="D26" s="95"/>
      <c r="E26" s="95"/>
      <c r="F26" s="95"/>
      <c r="G26" s="96"/>
      <c r="H26" s="4">
        <v>8.15</v>
      </c>
      <c r="I26" s="4">
        <v>3.07</v>
      </c>
      <c r="J26" s="10">
        <v>12983</v>
      </c>
      <c r="K26" s="10">
        <v>10370</v>
      </c>
      <c r="L26" s="10">
        <f t="shared" si="1"/>
        <v>23353</v>
      </c>
    </row>
    <row r="27" spans="1:12" x14ac:dyDescent="0.3">
      <c r="A27" s="49" t="s">
        <v>110</v>
      </c>
      <c r="B27" s="95"/>
      <c r="C27" s="95"/>
      <c r="D27" s="95"/>
      <c r="E27" s="95"/>
      <c r="F27" s="95"/>
      <c r="G27" s="96"/>
      <c r="H27" s="4">
        <v>8.7200000000000006</v>
      </c>
      <c r="I27" s="4">
        <v>1.87</v>
      </c>
      <c r="J27" s="10">
        <v>12983</v>
      </c>
      <c r="K27" s="10">
        <v>12806</v>
      </c>
      <c r="L27" s="10">
        <f t="shared" si="1"/>
        <v>25789</v>
      </c>
    </row>
    <row r="28" spans="1:12" x14ac:dyDescent="0.3">
      <c r="A28" s="49" t="s">
        <v>112</v>
      </c>
      <c r="B28" s="95"/>
      <c r="C28" s="95"/>
      <c r="D28" s="95"/>
      <c r="E28" s="95"/>
      <c r="F28" s="95"/>
      <c r="G28" s="96"/>
      <c r="H28" s="4">
        <v>8.7200000000000006</v>
      </c>
      <c r="I28" s="4">
        <v>2.0299999999999998</v>
      </c>
      <c r="J28" s="10">
        <v>12983</v>
      </c>
      <c r="K28" s="10">
        <v>12806</v>
      </c>
      <c r="L28" s="10">
        <f t="shared" si="1"/>
        <v>25789</v>
      </c>
    </row>
    <row r="29" spans="1:12" x14ac:dyDescent="0.3">
      <c r="A29" s="49" t="s">
        <v>114</v>
      </c>
      <c r="B29" s="95"/>
      <c r="C29" s="95"/>
      <c r="D29" s="95"/>
      <c r="E29" s="95"/>
      <c r="F29" s="95"/>
      <c r="G29" s="96"/>
      <c r="H29" s="4">
        <v>8.7200000000000006</v>
      </c>
      <c r="I29" s="4">
        <v>1.98</v>
      </c>
      <c r="J29" s="10">
        <v>12983</v>
      </c>
      <c r="K29" s="10">
        <v>12806</v>
      </c>
      <c r="L29" s="10">
        <f t="shared" si="1"/>
        <v>25789</v>
      </c>
    </row>
    <row r="30" spans="1:12" x14ac:dyDescent="0.3">
      <c r="A30" s="49" t="s">
        <v>116</v>
      </c>
      <c r="B30" s="95"/>
      <c r="C30" s="95"/>
      <c r="D30" s="95"/>
      <c r="E30" s="95"/>
      <c r="F30" s="95"/>
      <c r="G30" s="96"/>
      <c r="H30" s="4">
        <v>8.7100000000000009</v>
      </c>
      <c r="I30" s="4">
        <v>1.96</v>
      </c>
      <c r="J30" s="10">
        <v>12983</v>
      </c>
      <c r="K30" s="10">
        <v>12750</v>
      </c>
      <c r="L30" s="10">
        <f t="shared" si="1"/>
        <v>25733</v>
      </c>
    </row>
    <row r="31" spans="1:12" x14ac:dyDescent="0.3">
      <c r="A31" s="49" t="s">
        <v>118</v>
      </c>
      <c r="B31" s="95"/>
      <c r="C31" s="95"/>
      <c r="D31" s="95"/>
      <c r="E31" s="95"/>
      <c r="F31" s="95"/>
      <c r="G31" s="96"/>
      <c r="H31" s="4">
        <v>8.7200000000000006</v>
      </c>
      <c r="I31" s="4">
        <v>1.87</v>
      </c>
      <c r="J31" s="10">
        <v>12983</v>
      </c>
      <c r="K31" s="10">
        <v>12806</v>
      </c>
      <c r="L31" s="10">
        <f t="shared" si="1"/>
        <v>25789</v>
      </c>
    </row>
    <row r="32" spans="1:12" x14ac:dyDescent="0.3">
      <c r="A32" s="49" t="s">
        <v>120</v>
      </c>
      <c r="B32" s="95"/>
      <c r="C32" s="95"/>
      <c r="D32" s="95"/>
      <c r="E32" s="95"/>
      <c r="F32" s="95"/>
      <c r="G32" s="96"/>
      <c r="H32" s="4">
        <v>8.66</v>
      </c>
      <c r="I32" s="4">
        <v>2.02</v>
      </c>
      <c r="J32" s="10">
        <v>12983</v>
      </c>
      <c r="K32" s="10">
        <v>12552</v>
      </c>
      <c r="L32" s="10">
        <f t="shared" si="1"/>
        <v>25535</v>
      </c>
    </row>
    <row r="34" spans="1:14" x14ac:dyDescent="0.3">
      <c r="A34" s="58" t="s">
        <v>134</v>
      </c>
    </row>
    <row r="35" spans="1:14" x14ac:dyDescent="0.3">
      <c r="A35" s="24" t="s">
        <v>70</v>
      </c>
      <c r="B35" s="24" t="s">
        <v>122</v>
      </c>
      <c r="C35" s="24" t="s">
        <v>123</v>
      </c>
      <c r="D35" s="24" t="s">
        <v>124</v>
      </c>
      <c r="E35" s="24" t="s">
        <v>125</v>
      </c>
      <c r="F35" s="24" t="s">
        <v>126</v>
      </c>
      <c r="G35" s="24" t="s">
        <v>160</v>
      </c>
      <c r="H35" s="24" t="s">
        <v>127</v>
      </c>
      <c r="I35" s="24" t="s">
        <v>128</v>
      </c>
      <c r="J35" s="24" t="s">
        <v>129</v>
      </c>
      <c r="K35" s="24" t="s">
        <v>130</v>
      </c>
      <c r="L35" s="24" t="s">
        <v>131</v>
      </c>
      <c r="M35" s="24" t="s">
        <v>132</v>
      </c>
    </row>
    <row r="36" spans="1:14" x14ac:dyDescent="0.3">
      <c r="A36" s="13" t="s">
        <v>150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52"/>
    </row>
    <row r="37" spans="1:14" x14ac:dyDescent="0.3">
      <c r="A37" s="13" t="s">
        <v>149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52"/>
    </row>
    <row r="38" spans="1:14" x14ac:dyDescent="0.3">
      <c r="A38" s="4" t="s">
        <v>148</v>
      </c>
      <c r="B38" s="4">
        <v>421</v>
      </c>
      <c r="C38" s="4">
        <v>375</v>
      </c>
      <c r="D38" s="4">
        <v>335</v>
      </c>
      <c r="E38" s="13">
        <v>375</v>
      </c>
      <c r="F38" s="4">
        <v>375</v>
      </c>
      <c r="G38" s="13">
        <v>375</v>
      </c>
      <c r="H38" s="13">
        <v>375</v>
      </c>
      <c r="I38" s="13">
        <v>375</v>
      </c>
      <c r="J38" s="13">
        <v>375</v>
      </c>
      <c r="K38" s="13">
        <v>375</v>
      </c>
      <c r="L38" s="13">
        <v>375</v>
      </c>
      <c r="M38" s="13">
        <v>375</v>
      </c>
      <c r="N38" s="52"/>
    </row>
    <row r="39" spans="1:14" x14ac:dyDescent="0.3">
      <c r="A39" s="4" t="s">
        <v>85</v>
      </c>
      <c r="B39" s="4">
        <v>392</v>
      </c>
      <c r="C39" s="4">
        <v>351</v>
      </c>
      <c r="D39" s="4">
        <v>351</v>
      </c>
      <c r="E39" s="13">
        <v>351</v>
      </c>
      <c r="F39" s="4">
        <v>351</v>
      </c>
      <c r="G39" s="13">
        <v>351</v>
      </c>
      <c r="H39" s="13">
        <v>351</v>
      </c>
      <c r="I39" s="13">
        <v>351</v>
      </c>
      <c r="J39" s="13">
        <v>351</v>
      </c>
      <c r="K39" s="13">
        <v>351</v>
      </c>
      <c r="L39" s="13">
        <v>351</v>
      </c>
      <c r="M39" s="13">
        <v>351</v>
      </c>
      <c r="N39" s="52"/>
    </row>
    <row r="40" spans="1:14" x14ac:dyDescent="0.3">
      <c r="A40" s="4" t="s">
        <v>83</v>
      </c>
      <c r="B40" s="4">
        <v>581</v>
      </c>
      <c r="C40" s="4">
        <v>536</v>
      </c>
      <c r="D40" s="4">
        <v>536</v>
      </c>
      <c r="E40" s="13">
        <v>536</v>
      </c>
      <c r="F40" s="4">
        <v>536</v>
      </c>
      <c r="G40" s="13">
        <v>536</v>
      </c>
      <c r="H40" s="13">
        <v>536</v>
      </c>
      <c r="I40" s="13">
        <v>536</v>
      </c>
      <c r="J40" s="13">
        <v>536</v>
      </c>
      <c r="K40" s="13">
        <v>536</v>
      </c>
      <c r="L40" s="13">
        <v>536</v>
      </c>
      <c r="M40" s="13">
        <v>536</v>
      </c>
      <c r="N40" s="52"/>
    </row>
    <row r="41" spans="1:14" x14ac:dyDescent="0.3">
      <c r="A41" s="4" t="s">
        <v>81</v>
      </c>
      <c r="B41" s="4">
        <v>565</v>
      </c>
      <c r="C41" s="4">
        <v>537</v>
      </c>
      <c r="D41" s="4">
        <v>536</v>
      </c>
      <c r="E41" s="5"/>
      <c r="F41" s="4"/>
      <c r="G41" s="5"/>
      <c r="H41" s="4">
        <v>537</v>
      </c>
      <c r="I41" s="4">
        <v>537</v>
      </c>
      <c r="J41" s="4">
        <v>537</v>
      </c>
      <c r="K41" s="4">
        <v>537</v>
      </c>
      <c r="L41" s="4">
        <v>537</v>
      </c>
      <c r="M41" s="4">
        <v>537</v>
      </c>
      <c r="N41" s="52"/>
    </row>
    <row r="42" spans="1:14" x14ac:dyDescent="0.3">
      <c r="A42" s="4" t="s">
        <v>78</v>
      </c>
      <c r="B42" s="4">
        <v>463</v>
      </c>
      <c r="C42" s="4">
        <v>420</v>
      </c>
      <c r="D42" s="4">
        <v>439</v>
      </c>
      <c r="E42" s="13">
        <v>77</v>
      </c>
      <c r="F42" s="4">
        <v>77</v>
      </c>
      <c r="G42" s="5"/>
      <c r="H42" s="4">
        <v>420</v>
      </c>
      <c r="I42" s="4">
        <v>420</v>
      </c>
      <c r="J42" s="4">
        <v>420</v>
      </c>
      <c r="K42" s="4">
        <v>420</v>
      </c>
      <c r="L42" s="4">
        <v>420</v>
      </c>
      <c r="M42" s="4">
        <v>420</v>
      </c>
      <c r="N42" s="52"/>
    </row>
    <row r="43" spans="1:14" x14ac:dyDescent="0.3">
      <c r="A43" s="4" t="s">
        <v>75</v>
      </c>
      <c r="B43" s="4">
        <v>527</v>
      </c>
      <c r="C43" s="4">
        <v>485</v>
      </c>
      <c r="D43" s="4">
        <v>493</v>
      </c>
      <c r="E43" s="13"/>
      <c r="F43" s="4"/>
      <c r="G43" s="5"/>
      <c r="H43" s="4">
        <v>485</v>
      </c>
      <c r="I43" s="4">
        <v>485</v>
      </c>
      <c r="J43" s="4">
        <v>485</v>
      </c>
      <c r="K43" s="4">
        <v>485</v>
      </c>
      <c r="L43" s="4">
        <v>485</v>
      </c>
      <c r="M43" s="4">
        <v>485</v>
      </c>
      <c r="N43" s="52"/>
    </row>
    <row r="44" spans="1:14" x14ac:dyDescent="0.3">
      <c r="A44" s="4" t="s">
        <v>147</v>
      </c>
      <c r="B44" s="4">
        <v>494</v>
      </c>
      <c r="C44" s="4">
        <v>460</v>
      </c>
      <c r="D44" s="4">
        <v>464</v>
      </c>
      <c r="E44" s="13">
        <v>105</v>
      </c>
      <c r="F44" s="4">
        <v>105</v>
      </c>
      <c r="G44" s="5"/>
      <c r="H44" s="4">
        <v>460</v>
      </c>
      <c r="I44" s="4">
        <v>460</v>
      </c>
      <c r="J44" s="4">
        <v>460</v>
      </c>
      <c r="K44" s="4">
        <v>460</v>
      </c>
      <c r="L44" s="4">
        <v>460</v>
      </c>
      <c r="M44" s="4">
        <v>460</v>
      </c>
      <c r="N44" s="52"/>
    </row>
    <row r="45" spans="1:14" x14ac:dyDescent="0.3">
      <c r="A45" s="4" t="s">
        <v>146</v>
      </c>
      <c r="B45" s="4">
        <v>339</v>
      </c>
      <c r="C45" s="4">
        <v>317</v>
      </c>
      <c r="D45" s="4">
        <v>323</v>
      </c>
      <c r="E45" s="13">
        <v>323</v>
      </c>
      <c r="F45" s="4"/>
      <c r="G45" s="5"/>
      <c r="H45" s="4">
        <v>317</v>
      </c>
      <c r="I45" s="4">
        <v>113</v>
      </c>
      <c r="J45" s="4">
        <v>317</v>
      </c>
      <c r="K45" s="4">
        <v>204</v>
      </c>
      <c r="L45" s="4">
        <v>317</v>
      </c>
      <c r="M45" s="5"/>
      <c r="N45" s="52"/>
    </row>
    <row r="46" spans="1:14" x14ac:dyDescent="0.3">
      <c r="A46" s="4" t="s">
        <v>145</v>
      </c>
      <c r="B46" s="4">
        <v>297</v>
      </c>
      <c r="C46" s="4">
        <v>290</v>
      </c>
      <c r="D46" s="4">
        <v>293</v>
      </c>
      <c r="E46" s="13">
        <v>293</v>
      </c>
      <c r="F46" s="4"/>
      <c r="G46" s="5"/>
      <c r="H46" s="4">
        <v>290</v>
      </c>
      <c r="I46" s="4">
        <v>113</v>
      </c>
      <c r="J46" s="4">
        <v>290</v>
      </c>
      <c r="K46" s="4">
        <v>177</v>
      </c>
      <c r="L46" s="4">
        <v>290</v>
      </c>
      <c r="M46" s="5"/>
      <c r="N46" s="52"/>
    </row>
    <row r="47" spans="1:14" x14ac:dyDescent="0.3">
      <c r="A47" s="4" t="s">
        <v>144</v>
      </c>
      <c r="B47" s="4">
        <v>175</v>
      </c>
      <c r="C47" s="4">
        <v>171</v>
      </c>
      <c r="D47" s="4">
        <v>172</v>
      </c>
      <c r="E47" s="13">
        <v>172</v>
      </c>
      <c r="F47" s="4"/>
      <c r="G47" s="5"/>
      <c r="H47" s="4">
        <v>82</v>
      </c>
      <c r="I47" s="4">
        <v>82</v>
      </c>
      <c r="J47" s="4">
        <v>89</v>
      </c>
      <c r="K47" s="4">
        <v>89</v>
      </c>
      <c r="L47" s="4"/>
      <c r="M47" s="5"/>
      <c r="N47" s="52"/>
    </row>
    <row r="48" spans="1:14" x14ac:dyDescent="0.3">
      <c r="A48" s="4" t="s">
        <v>143</v>
      </c>
      <c r="B48" s="4">
        <v>64</v>
      </c>
      <c r="C48" s="4">
        <v>60</v>
      </c>
      <c r="D48" s="4">
        <v>60</v>
      </c>
      <c r="E48" s="13">
        <v>60</v>
      </c>
      <c r="F48" s="4"/>
      <c r="G48" s="5"/>
      <c r="H48" s="4"/>
      <c r="I48" s="4"/>
      <c r="J48" s="4">
        <v>60</v>
      </c>
      <c r="K48" s="4">
        <v>60</v>
      </c>
      <c r="L48" s="4"/>
      <c r="M48" s="5"/>
      <c r="N48" s="52"/>
    </row>
    <row r="49" spans="1:13" x14ac:dyDescent="0.3">
      <c r="A49" s="24" t="s">
        <v>135</v>
      </c>
      <c r="B49" s="24">
        <f t="shared" ref="B49:M49" si="2">SUM(B38:B48)</f>
        <v>4318</v>
      </c>
      <c r="C49" s="24">
        <f t="shared" si="2"/>
        <v>4002</v>
      </c>
      <c r="D49" s="24">
        <f t="shared" si="2"/>
        <v>4002</v>
      </c>
      <c r="E49" s="24">
        <f t="shared" si="2"/>
        <v>2292</v>
      </c>
      <c r="F49" s="24">
        <f t="shared" si="2"/>
        <v>1444</v>
      </c>
      <c r="G49" s="24">
        <f t="shared" si="2"/>
        <v>1262</v>
      </c>
      <c r="H49" s="24">
        <f t="shared" si="2"/>
        <v>3853</v>
      </c>
      <c r="I49" s="24">
        <f t="shared" si="2"/>
        <v>3472</v>
      </c>
      <c r="J49" s="24">
        <f t="shared" si="2"/>
        <v>3920</v>
      </c>
      <c r="K49" s="24">
        <f t="shared" si="2"/>
        <v>3694</v>
      </c>
      <c r="L49" s="24">
        <f t="shared" si="2"/>
        <v>3771</v>
      </c>
      <c r="M49" s="24">
        <f t="shared" si="2"/>
        <v>3164</v>
      </c>
    </row>
    <row r="50" spans="1:13" x14ac:dyDescent="0.3">
      <c r="B50" s="1"/>
    </row>
    <row r="51" spans="1:13" x14ac:dyDescent="0.3">
      <c r="A51" s="19" t="s">
        <v>121</v>
      </c>
      <c r="B51" s="1"/>
    </row>
    <row r="52" spans="1:13" x14ac:dyDescent="0.3">
      <c r="A52" s="24" t="s">
        <v>70</v>
      </c>
      <c r="B52" s="24" t="s">
        <v>122</v>
      </c>
      <c r="C52" s="24" t="s">
        <v>123</v>
      </c>
      <c r="D52" s="24" t="s">
        <v>124</v>
      </c>
      <c r="E52" s="24" t="s">
        <v>125</v>
      </c>
      <c r="F52" s="24" t="s">
        <v>126</v>
      </c>
      <c r="G52" s="24" t="s">
        <v>160</v>
      </c>
      <c r="H52" s="24" t="s">
        <v>127</v>
      </c>
      <c r="I52" s="24" t="s">
        <v>128</v>
      </c>
      <c r="J52" s="24" t="s">
        <v>129</v>
      </c>
      <c r="K52" s="24" t="s">
        <v>130</v>
      </c>
      <c r="L52" s="24" t="s">
        <v>131</v>
      </c>
      <c r="M52" s="24" t="s">
        <v>132</v>
      </c>
    </row>
    <row r="53" spans="1:13" x14ac:dyDescent="0.3">
      <c r="A53" s="13" t="s">
        <v>150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</row>
    <row r="54" spans="1:13" x14ac:dyDescent="0.3">
      <c r="A54" s="13" t="s">
        <v>149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</row>
    <row r="55" spans="1:13" x14ac:dyDescent="0.3">
      <c r="A55" s="4" t="s">
        <v>148</v>
      </c>
      <c r="B55" s="10">
        <v>673</v>
      </c>
      <c r="C55" s="10">
        <v>577</v>
      </c>
      <c r="D55" s="10">
        <v>515</v>
      </c>
      <c r="E55" s="10">
        <v>577</v>
      </c>
      <c r="F55" s="10">
        <v>577</v>
      </c>
      <c r="G55" s="53">
        <v>577</v>
      </c>
      <c r="H55" s="53">
        <v>577</v>
      </c>
      <c r="I55" s="53">
        <v>577</v>
      </c>
      <c r="J55" s="53">
        <v>577</v>
      </c>
      <c r="K55" s="53">
        <v>577</v>
      </c>
      <c r="L55" s="53">
        <v>577</v>
      </c>
      <c r="M55" s="53">
        <v>577</v>
      </c>
    </row>
    <row r="56" spans="1:13" x14ac:dyDescent="0.3">
      <c r="A56" s="4" t="s">
        <v>85</v>
      </c>
      <c r="B56" s="10">
        <v>626</v>
      </c>
      <c r="C56" s="10">
        <v>540</v>
      </c>
      <c r="D56" s="10">
        <v>540</v>
      </c>
      <c r="E56" s="10">
        <v>540</v>
      </c>
      <c r="F56" s="10">
        <v>540</v>
      </c>
      <c r="G56" s="53">
        <v>540</v>
      </c>
      <c r="H56" s="53">
        <v>540</v>
      </c>
      <c r="I56" s="53">
        <v>540</v>
      </c>
      <c r="J56" s="53">
        <v>540</v>
      </c>
      <c r="K56" s="53">
        <v>540</v>
      </c>
      <c r="L56" s="53">
        <v>540</v>
      </c>
      <c r="M56" s="53">
        <v>540</v>
      </c>
    </row>
    <row r="57" spans="1:13" x14ac:dyDescent="0.3">
      <c r="A57" s="4" t="s">
        <v>83</v>
      </c>
      <c r="B57" s="10">
        <v>930</v>
      </c>
      <c r="C57" s="10">
        <v>825</v>
      </c>
      <c r="D57" s="10">
        <v>825</v>
      </c>
      <c r="E57" s="10">
        <v>825</v>
      </c>
      <c r="F57" s="10">
        <v>825</v>
      </c>
      <c r="G57" s="53">
        <v>825</v>
      </c>
      <c r="H57" s="53">
        <v>825</v>
      </c>
      <c r="I57" s="53">
        <v>825</v>
      </c>
      <c r="J57" s="53">
        <v>825</v>
      </c>
      <c r="K57" s="53">
        <v>825</v>
      </c>
      <c r="L57" s="53">
        <v>825</v>
      </c>
      <c r="M57" s="53">
        <v>825</v>
      </c>
    </row>
    <row r="58" spans="1:13" x14ac:dyDescent="0.3">
      <c r="A58" s="4" t="s">
        <v>81</v>
      </c>
      <c r="B58" s="10">
        <v>905</v>
      </c>
      <c r="C58" s="10">
        <v>828</v>
      </c>
      <c r="D58" s="10">
        <v>1020</v>
      </c>
      <c r="E58" s="10">
        <v>0</v>
      </c>
      <c r="F58" s="10">
        <v>0</v>
      </c>
      <c r="G58" s="10">
        <v>0</v>
      </c>
      <c r="H58" s="10">
        <v>828</v>
      </c>
      <c r="I58" s="10">
        <v>828</v>
      </c>
      <c r="J58" s="53">
        <v>828</v>
      </c>
      <c r="K58" s="53">
        <v>828</v>
      </c>
      <c r="L58" s="53">
        <v>828</v>
      </c>
      <c r="M58" s="53">
        <v>828</v>
      </c>
    </row>
    <row r="59" spans="1:13" x14ac:dyDescent="0.3">
      <c r="A59" s="4" t="s">
        <v>78</v>
      </c>
      <c r="B59" s="10">
        <v>741</v>
      </c>
      <c r="C59" s="10">
        <v>648</v>
      </c>
      <c r="D59" s="10">
        <v>834</v>
      </c>
      <c r="E59" s="10">
        <v>1386</v>
      </c>
      <c r="F59" s="10">
        <v>1386</v>
      </c>
      <c r="G59" s="10">
        <v>0</v>
      </c>
      <c r="H59" s="10">
        <v>648</v>
      </c>
      <c r="I59" s="10">
        <v>648</v>
      </c>
      <c r="J59" s="53">
        <v>648</v>
      </c>
      <c r="K59" s="53">
        <v>648</v>
      </c>
      <c r="L59" s="53">
        <v>648</v>
      </c>
      <c r="M59" s="53">
        <v>648</v>
      </c>
    </row>
    <row r="60" spans="1:13" x14ac:dyDescent="0.3">
      <c r="A60" s="4" t="s">
        <v>75</v>
      </c>
      <c r="B60" s="10">
        <v>843</v>
      </c>
      <c r="C60" s="10">
        <v>747</v>
      </c>
      <c r="D60" s="10">
        <v>936</v>
      </c>
      <c r="E60" s="10">
        <v>0</v>
      </c>
      <c r="F60" s="10">
        <v>0</v>
      </c>
      <c r="G60" s="10">
        <v>0</v>
      </c>
      <c r="H60" s="10">
        <v>747</v>
      </c>
      <c r="I60" s="10">
        <v>747</v>
      </c>
      <c r="J60" s="53">
        <v>747</v>
      </c>
      <c r="K60" s="53">
        <v>747</v>
      </c>
      <c r="L60" s="53">
        <v>747</v>
      </c>
      <c r="M60" s="53">
        <v>747</v>
      </c>
    </row>
    <row r="61" spans="1:13" x14ac:dyDescent="0.3">
      <c r="A61" s="4" t="s">
        <v>147</v>
      </c>
      <c r="B61" s="10">
        <v>791</v>
      </c>
      <c r="C61" s="10">
        <v>707</v>
      </c>
      <c r="D61" s="10">
        <v>882</v>
      </c>
      <c r="E61" s="10">
        <v>1890</v>
      </c>
      <c r="F61" s="10">
        <v>1890</v>
      </c>
      <c r="G61" s="10">
        <v>0</v>
      </c>
      <c r="H61" s="10">
        <v>707</v>
      </c>
      <c r="I61" s="10">
        <v>707</v>
      </c>
      <c r="J61" s="53">
        <v>707</v>
      </c>
      <c r="K61" s="53">
        <v>707</v>
      </c>
      <c r="L61" s="53">
        <v>707</v>
      </c>
      <c r="M61" s="53">
        <v>707</v>
      </c>
    </row>
    <row r="62" spans="1:13" x14ac:dyDescent="0.3">
      <c r="A62" s="4" t="s">
        <v>146</v>
      </c>
      <c r="B62" s="10">
        <v>543</v>
      </c>
      <c r="C62" s="10">
        <v>488</v>
      </c>
      <c r="D62" s="10">
        <v>614</v>
      </c>
      <c r="E62" s="10">
        <v>614</v>
      </c>
      <c r="F62" s="10">
        <v>0</v>
      </c>
      <c r="G62" s="10">
        <v>0</v>
      </c>
      <c r="H62" s="10">
        <v>488</v>
      </c>
      <c r="I62" s="10">
        <v>174</v>
      </c>
      <c r="J62" s="53">
        <v>488</v>
      </c>
      <c r="K62" s="53">
        <v>314</v>
      </c>
      <c r="L62" s="53">
        <v>488</v>
      </c>
      <c r="M62" s="10">
        <v>0</v>
      </c>
    </row>
    <row r="63" spans="1:13" x14ac:dyDescent="0.3">
      <c r="A63" s="4" t="s">
        <v>145</v>
      </c>
      <c r="B63" s="10">
        <v>475</v>
      </c>
      <c r="C63" s="10">
        <v>447</v>
      </c>
      <c r="D63" s="10">
        <v>556</v>
      </c>
      <c r="E63" s="10">
        <v>556</v>
      </c>
      <c r="F63" s="10">
        <v>0</v>
      </c>
      <c r="G63" s="10">
        <v>0</v>
      </c>
      <c r="H63" s="10">
        <v>447</v>
      </c>
      <c r="I63" s="10">
        <v>174</v>
      </c>
      <c r="J63" s="53">
        <v>447</v>
      </c>
      <c r="K63" s="53">
        <v>273</v>
      </c>
      <c r="L63" s="53">
        <v>447</v>
      </c>
      <c r="M63" s="10">
        <v>0</v>
      </c>
    </row>
    <row r="64" spans="1:13" x14ac:dyDescent="0.3">
      <c r="A64" s="4" t="s">
        <v>144</v>
      </c>
      <c r="B64" s="10">
        <v>280</v>
      </c>
      <c r="C64" s="10">
        <v>263</v>
      </c>
      <c r="D64" s="10">
        <v>327</v>
      </c>
      <c r="E64" s="10">
        <v>327</v>
      </c>
      <c r="F64" s="10">
        <v>0</v>
      </c>
      <c r="G64" s="10">
        <v>0</v>
      </c>
      <c r="H64" s="10">
        <v>126</v>
      </c>
      <c r="I64" s="10">
        <v>126</v>
      </c>
      <c r="J64" s="53">
        <v>137</v>
      </c>
      <c r="K64" s="53">
        <v>137</v>
      </c>
      <c r="L64" s="10">
        <v>0</v>
      </c>
      <c r="M64" s="10">
        <v>0</v>
      </c>
    </row>
    <row r="65" spans="1:13" x14ac:dyDescent="0.3">
      <c r="A65" s="4" t="s">
        <v>143</v>
      </c>
      <c r="B65" s="10">
        <v>102</v>
      </c>
      <c r="C65" s="10">
        <v>92</v>
      </c>
      <c r="D65" s="10">
        <v>114</v>
      </c>
      <c r="E65" s="10">
        <v>114</v>
      </c>
      <c r="F65" s="10">
        <v>0</v>
      </c>
      <c r="G65" s="10">
        <v>0</v>
      </c>
      <c r="H65" s="10">
        <v>0</v>
      </c>
      <c r="I65" s="10">
        <v>0</v>
      </c>
      <c r="J65" s="53">
        <v>92</v>
      </c>
      <c r="K65" s="53">
        <v>92</v>
      </c>
      <c r="L65" s="10">
        <v>0</v>
      </c>
      <c r="M65" s="10">
        <v>0</v>
      </c>
    </row>
    <row r="66" spans="1:13" x14ac:dyDescent="0.3">
      <c r="A66" s="24" t="s">
        <v>88</v>
      </c>
      <c r="B66" s="24">
        <f t="shared" ref="B66:M66" si="3">SUM(B55:B65)</f>
        <v>6909</v>
      </c>
      <c r="C66" s="45">
        <f t="shared" si="3"/>
        <v>6162</v>
      </c>
      <c r="D66" s="45">
        <f t="shared" si="3"/>
        <v>7163</v>
      </c>
      <c r="E66" s="45">
        <f t="shared" si="3"/>
        <v>6829</v>
      </c>
      <c r="F66" s="45">
        <f t="shared" si="3"/>
        <v>5218</v>
      </c>
      <c r="G66" s="45">
        <f t="shared" si="3"/>
        <v>1942</v>
      </c>
      <c r="H66" s="45">
        <f t="shared" si="3"/>
        <v>5933</v>
      </c>
      <c r="I66" s="45">
        <f t="shared" si="3"/>
        <v>5346</v>
      </c>
      <c r="J66" s="45">
        <f t="shared" si="3"/>
        <v>6036</v>
      </c>
      <c r="K66" s="45">
        <f t="shared" si="3"/>
        <v>5688</v>
      </c>
      <c r="L66" s="45">
        <f t="shared" si="3"/>
        <v>5807</v>
      </c>
      <c r="M66" s="45">
        <f t="shared" si="3"/>
        <v>4872</v>
      </c>
    </row>
    <row r="67" spans="1:13" x14ac:dyDescent="0.3">
      <c r="B67" s="1"/>
    </row>
  </sheetData>
  <mergeCells count="1">
    <mergeCell ref="A20:G20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FD51-7454-48FF-9B6D-78C01AFE150C}">
  <dimension ref="A1"/>
  <sheetViews>
    <sheetView workbookViewId="0"/>
  </sheetViews>
  <sheetFormatPr defaultRowHeight="16.5" x14ac:dyDescent="0.3"/>
  <sheetData/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29"/>
  <sheetViews>
    <sheetView zoomScaleNormal="100" workbookViewId="0">
      <selection activeCell="C32" sqref="C32"/>
    </sheetView>
  </sheetViews>
  <sheetFormatPr defaultRowHeight="16.5" x14ac:dyDescent="0.3"/>
  <cols>
    <col min="1" max="1025" width="8.625" customWidth="1"/>
  </cols>
  <sheetData>
    <row r="2" spans="1:5" x14ac:dyDescent="0.3">
      <c r="A2" t="s">
        <v>190</v>
      </c>
      <c r="B2">
        <v>170.4</v>
      </c>
    </row>
    <row r="3" spans="1:5" x14ac:dyDescent="0.3">
      <c r="A3" t="s">
        <v>191</v>
      </c>
      <c r="B3">
        <v>30.2</v>
      </c>
    </row>
    <row r="4" spans="1:5" x14ac:dyDescent="0.3">
      <c r="A4" t="s">
        <v>192</v>
      </c>
      <c r="D4">
        <f>0.05*B3</f>
        <v>1.51</v>
      </c>
      <c r="E4">
        <f>0.39*B3</f>
        <v>11.778</v>
      </c>
    </row>
    <row r="13" spans="1:5" x14ac:dyDescent="0.3">
      <c r="A13" s="4"/>
      <c r="B13" s="13" t="s">
        <v>193</v>
      </c>
      <c r="C13" s="13" t="s">
        <v>194</v>
      </c>
      <c r="D13" s="13" t="s">
        <v>195</v>
      </c>
      <c r="E13" s="4"/>
    </row>
    <row r="14" spans="1:5" x14ac:dyDescent="0.3">
      <c r="A14" s="4"/>
      <c r="B14" s="4" t="s">
        <v>1</v>
      </c>
      <c r="C14" s="4" t="s">
        <v>196</v>
      </c>
      <c r="D14" s="4" t="s">
        <v>197</v>
      </c>
      <c r="E14" s="4"/>
    </row>
    <row r="15" spans="1:5" x14ac:dyDescent="0.3">
      <c r="A15" s="4" t="s">
        <v>148</v>
      </c>
      <c r="B15" s="13">
        <v>12.76</v>
      </c>
      <c r="C15" s="4">
        <v>2.4529999999999998</v>
      </c>
      <c r="D15" s="4">
        <v>215</v>
      </c>
      <c r="E15" s="4">
        <v>136</v>
      </c>
    </row>
    <row r="16" spans="1:5" x14ac:dyDescent="0.3">
      <c r="A16" s="4" t="s">
        <v>85</v>
      </c>
      <c r="B16" s="13">
        <v>12.76</v>
      </c>
      <c r="C16" s="4">
        <v>2.4529999999999998</v>
      </c>
      <c r="D16" s="4">
        <v>215</v>
      </c>
      <c r="E16" s="4">
        <v>136</v>
      </c>
    </row>
    <row r="17" spans="1:5" x14ac:dyDescent="0.3">
      <c r="A17" s="4" t="s">
        <v>83</v>
      </c>
      <c r="B17" s="13">
        <v>12.76</v>
      </c>
      <c r="C17" s="4">
        <v>2.4529999999999998</v>
      </c>
      <c r="D17" s="4">
        <v>215</v>
      </c>
      <c r="E17" s="4">
        <v>136</v>
      </c>
    </row>
    <row r="18" spans="1:5" x14ac:dyDescent="0.3">
      <c r="A18" s="4" t="s">
        <v>198</v>
      </c>
      <c r="B18" s="13">
        <v>16.68</v>
      </c>
      <c r="C18" s="4">
        <v>2.9430000000000001</v>
      </c>
      <c r="D18" s="4">
        <v>275</v>
      </c>
      <c r="E18" s="4">
        <v>144</v>
      </c>
    </row>
    <row r="19" spans="1:5" x14ac:dyDescent="0.3">
      <c r="A19" s="4" t="s">
        <v>78</v>
      </c>
      <c r="B19" s="13">
        <v>122.63</v>
      </c>
      <c r="C19" s="4">
        <v>9.81</v>
      </c>
      <c r="D19" s="4">
        <v>400</v>
      </c>
      <c r="E19" s="4">
        <v>392</v>
      </c>
    </row>
    <row r="20" spans="1:5" x14ac:dyDescent="0.3">
      <c r="A20" s="4" t="s">
        <v>199</v>
      </c>
      <c r="B20" s="13">
        <v>16.68</v>
      </c>
      <c r="C20" s="4">
        <v>2.9430000000000001</v>
      </c>
      <c r="D20" s="4">
        <v>275</v>
      </c>
      <c r="E20" s="4">
        <v>144</v>
      </c>
    </row>
    <row r="21" spans="1:5" x14ac:dyDescent="0.3">
      <c r="A21" s="4" t="s">
        <v>147</v>
      </c>
      <c r="B21" s="13">
        <v>343.35</v>
      </c>
      <c r="C21" s="4">
        <v>19.62</v>
      </c>
      <c r="D21" s="4">
        <v>680</v>
      </c>
      <c r="E21" s="4">
        <v>655</v>
      </c>
    </row>
    <row r="22" spans="1:5" x14ac:dyDescent="0.3">
      <c r="A22" s="4" t="s">
        <v>146</v>
      </c>
      <c r="B22" s="13">
        <v>15.7</v>
      </c>
      <c r="C22" s="4">
        <v>2.9430000000000001</v>
      </c>
      <c r="D22" s="4">
        <v>275</v>
      </c>
      <c r="E22" s="4">
        <v>144</v>
      </c>
    </row>
    <row r="23" spans="1:5" x14ac:dyDescent="0.3">
      <c r="A23" s="4" t="s">
        <v>145</v>
      </c>
      <c r="B23" s="13">
        <v>15.7</v>
      </c>
      <c r="C23" s="4">
        <v>2.9430000000000001</v>
      </c>
      <c r="D23" s="4">
        <v>275</v>
      </c>
      <c r="E23" s="4">
        <v>144</v>
      </c>
    </row>
    <row r="24" spans="1:5" x14ac:dyDescent="0.3">
      <c r="A24" s="4" t="s">
        <v>144</v>
      </c>
      <c r="B24" s="13">
        <v>15.7</v>
      </c>
      <c r="C24" s="4">
        <v>2.9430000000000001</v>
      </c>
      <c r="D24" s="4">
        <v>275</v>
      </c>
      <c r="E24" s="4">
        <v>144</v>
      </c>
    </row>
    <row r="25" spans="1:5" x14ac:dyDescent="0.3">
      <c r="A25" s="4" t="s">
        <v>143</v>
      </c>
      <c r="B25" s="13">
        <v>15.7</v>
      </c>
      <c r="C25" s="4">
        <v>2.9430000000000001</v>
      </c>
      <c r="D25" s="4">
        <v>275</v>
      </c>
      <c r="E25" s="4">
        <v>144</v>
      </c>
    </row>
    <row r="27" spans="1:5" x14ac:dyDescent="0.3">
      <c r="A27" t="s">
        <v>200</v>
      </c>
    </row>
    <row r="28" spans="1:5" x14ac:dyDescent="0.3">
      <c r="A28" t="s">
        <v>201</v>
      </c>
      <c r="C28">
        <v>1942380</v>
      </c>
      <c r="D28" t="s">
        <v>202</v>
      </c>
    </row>
    <row r="29" spans="1:5" x14ac:dyDescent="0.3">
      <c r="C29">
        <v>392400</v>
      </c>
      <c r="D29" t="s">
        <v>202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MainDimension</vt:lpstr>
      <vt:lpstr>CargoLoading</vt:lpstr>
      <vt:lpstr>DeckLoading</vt:lpstr>
      <vt:lpstr>Sheet2</vt:lpstr>
      <vt:lpstr>DeckLoading_2</vt:lpstr>
      <vt:lpstr>위치정보</vt:lpstr>
      <vt:lpstr>DeckLoading (2)</vt:lpstr>
      <vt:lpstr>Sheet5</vt:lpstr>
      <vt:lpstr>Sheet3</vt:lpstr>
      <vt:lpstr>HGL</vt:lpstr>
      <vt:lpstr>Detail of Car Loading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wjeong</cp:lastModifiedBy>
  <cp:revision>1</cp:revision>
  <cp:lastPrinted>2019-06-27T02:12:57Z</cp:lastPrinted>
  <dcterms:created xsi:type="dcterms:W3CDTF">2015-06-05T18:19:34Z</dcterms:created>
  <dcterms:modified xsi:type="dcterms:W3CDTF">2019-06-30T12:14:59Z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