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J:\COLORADO\pyLoadCalc\"/>
    </mc:Choice>
  </mc:AlternateContent>
  <xr:revisionPtr revIDLastSave="0" documentId="13_ncr:1_{46595B3A-71F6-4392-A10B-6182CF8C76F2}" xr6:coauthVersionLast="36" xr6:coauthVersionMax="36" xr10:uidLastSave="{00000000-0000-0000-0000-000000000000}"/>
  <bookViews>
    <workbookView xWindow="0" yWindow="0" windowWidth="16380" windowHeight="8190" tabRatio="500" firstSheet="1" activeTab="2" xr2:uid="{00000000-000D-0000-FFFF-FFFF00000000}"/>
  </bookViews>
  <sheets>
    <sheet name="Loading Summary" sheetId="1" r:id="rId1"/>
    <sheet name="Sheet4" sheetId="2" r:id="rId2"/>
    <sheet name="DeckLoading" sheetId="3" r:id="rId3"/>
    <sheet name="Sheet2" sheetId="4" r:id="rId4"/>
    <sheet name="DeckLoading_2" sheetId="5" r:id="rId5"/>
    <sheet name="TankLoading" sheetId="6" r:id="rId6"/>
    <sheet name="위치정보" sheetId="7" r:id="rId7"/>
    <sheet name="DeckLoading (2)" sheetId="8" r:id="rId8"/>
    <sheet name="Sheet3" sheetId="9" r:id="rId9"/>
    <sheet name="HGL" sheetId="10" r:id="rId10"/>
    <sheet name="Detail of Car Loading" sheetId="11" r:id="rId11"/>
    <sheet name="Sheet1" sheetId="12" r:id="rId1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A21" i="6" l="1"/>
  <c r="Y16" i="6"/>
  <c r="Y15" i="6"/>
  <c r="AA20" i="6"/>
  <c r="AA19" i="6"/>
  <c r="AA18" i="6"/>
  <c r="AA17" i="6"/>
  <c r="AA16" i="6"/>
  <c r="Y17" i="6" l="1"/>
  <c r="Y18" i="6"/>
  <c r="Y19" i="6"/>
  <c r="Y20" i="6"/>
  <c r="Y21" i="6"/>
  <c r="F57" i="6"/>
  <c r="F58" i="6"/>
  <c r="F59" i="6"/>
  <c r="F60" i="6"/>
  <c r="F61" i="6"/>
  <c r="F62" i="6"/>
  <c r="F56" i="6"/>
  <c r="D48" i="6"/>
  <c r="B48" i="6"/>
  <c r="B49" i="6"/>
  <c r="D50" i="6"/>
  <c r="E56" i="6"/>
  <c r="E54" i="6"/>
  <c r="E66" i="6"/>
  <c r="E65" i="6"/>
  <c r="E64" i="6"/>
  <c r="E63" i="6"/>
  <c r="C7" i="5"/>
  <c r="H10" i="5"/>
  <c r="K11" i="5"/>
  <c r="K10" i="5"/>
  <c r="K9" i="5"/>
  <c r="K8" i="5"/>
  <c r="K7" i="5"/>
  <c r="H7" i="5"/>
  <c r="H11" i="5"/>
  <c r="H9" i="5"/>
  <c r="H8" i="5"/>
  <c r="C8" i="5"/>
  <c r="E62" i="6"/>
  <c r="E61" i="6"/>
  <c r="E60" i="6"/>
  <c r="E59" i="6"/>
  <c r="E58" i="6"/>
  <c r="E57" i="6"/>
  <c r="E55" i="6"/>
  <c r="D67" i="6"/>
  <c r="V46" i="6"/>
  <c r="V47" i="6" s="1"/>
  <c r="V48" i="6" s="1"/>
  <c r="V36" i="6"/>
  <c r="L13" i="6"/>
  <c r="K14" i="6"/>
  <c r="K13" i="6"/>
  <c r="K8" i="6"/>
  <c r="J31" i="6"/>
  <c r="J29" i="6"/>
  <c r="J28" i="6"/>
  <c r="I34" i="6"/>
  <c r="I33" i="6"/>
  <c r="I32" i="6"/>
  <c r="I31" i="6"/>
  <c r="I30" i="6"/>
  <c r="I29" i="6"/>
  <c r="I28" i="6"/>
  <c r="I27" i="6"/>
  <c r="I26" i="6"/>
  <c r="H34" i="6"/>
  <c r="H33" i="6"/>
  <c r="H32" i="6"/>
  <c r="H31" i="6"/>
  <c r="H30" i="6"/>
  <c r="H29" i="6"/>
  <c r="H28" i="6"/>
  <c r="H27" i="6"/>
  <c r="H26" i="6"/>
  <c r="W44" i="6" l="1"/>
  <c r="E67" i="6"/>
  <c r="B74" i="12" l="1"/>
  <c r="E51" i="12"/>
  <c r="G50" i="12"/>
  <c r="E49" i="12"/>
  <c r="G48" i="12"/>
  <c r="E47" i="12"/>
  <c r="G46" i="12"/>
  <c r="E45" i="12"/>
  <c r="G44" i="12"/>
  <c r="E43" i="12"/>
  <c r="G42" i="12"/>
  <c r="E41" i="12"/>
  <c r="G40" i="12"/>
  <c r="E39" i="12"/>
  <c r="G38" i="12"/>
  <c r="E37" i="12"/>
  <c r="G36" i="12"/>
  <c r="E35" i="12"/>
  <c r="G34" i="12"/>
  <c r="E33" i="12"/>
  <c r="G32" i="12"/>
  <c r="E31" i="12"/>
  <c r="G30" i="12"/>
  <c r="E29" i="12"/>
  <c r="G28" i="12"/>
  <c r="F62" i="11"/>
  <c r="E62" i="11"/>
  <c r="D62" i="11"/>
  <c r="C62" i="11"/>
  <c r="G61" i="11"/>
  <c r="G60" i="11"/>
  <c r="G59" i="11"/>
  <c r="G58" i="11"/>
  <c r="G57" i="11"/>
  <c r="G56" i="11"/>
  <c r="G55" i="11"/>
  <c r="G54" i="11"/>
  <c r="G53" i="11"/>
  <c r="G52" i="11"/>
  <c r="G51" i="11"/>
  <c r="G62" i="11" s="1"/>
  <c r="F47" i="11"/>
  <c r="E47" i="11"/>
  <c r="D47" i="11"/>
  <c r="C47" i="11"/>
  <c r="G46" i="11"/>
  <c r="G45" i="11"/>
  <c r="G44" i="11"/>
  <c r="G43" i="11"/>
  <c r="G42" i="11"/>
  <c r="G41" i="11"/>
  <c r="G40" i="11"/>
  <c r="G39" i="11"/>
  <c r="G38" i="11"/>
  <c r="G37" i="11"/>
  <c r="G47" i="11" s="1"/>
  <c r="G36" i="11"/>
  <c r="F30" i="11"/>
  <c r="E30" i="11"/>
  <c r="D30" i="11"/>
  <c r="C30" i="11"/>
  <c r="G29" i="11"/>
  <c r="G28" i="11"/>
  <c r="G27" i="11"/>
  <c r="G26" i="11"/>
  <c r="G25" i="11"/>
  <c r="G24" i="11"/>
  <c r="G23" i="11"/>
  <c r="G22" i="11"/>
  <c r="G21" i="11"/>
  <c r="G20" i="11"/>
  <c r="G30" i="11" s="1"/>
  <c r="G19" i="11"/>
  <c r="F15" i="11"/>
  <c r="E15" i="11"/>
  <c r="D15" i="11"/>
  <c r="C15" i="11"/>
  <c r="G14" i="11"/>
  <c r="G13" i="11"/>
  <c r="G12" i="11"/>
  <c r="G11" i="11"/>
  <c r="G10" i="11"/>
  <c r="G9" i="11"/>
  <c r="G8" i="11"/>
  <c r="G7" i="11"/>
  <c r="G6" i="11"/>
  <c r="G5" i="11"/>
  <c r="G4" i="11"/>
  <c r="V12" i="10"/>
  <c r="V11" i="10"/>
  <c r="E4" i="9"/>
  <c r="D4" i="9"/>
  <c r="M66" i="8"/>
  <c r="L66" i="8"/>
  <c r="K66" i="8"/>
  <c r="J66" i="8"/>
  <c r="I66" i="8"/>
  <c r="H66" i="8"/>
  <c r="G66" i="8"/>
  <c r="F66" i="8"/>
  <c r="E66" i="8"/>
  <c r="D66" i="8"/>
  <c r="C66" i="8"/>
  <c r="B66" i="8"/>
  <c r="M49" i="8"/>
  <c r="L49" i="8"/>
  <c r="K49" i="8"/>
  <c r="J49" i="8"/>
  <c r="I49" i="8"/>
  <c r="H49" i="8"/>
  <c r="G49" i="8"/>
  <c r="F49" i="8"/>
  <c r="E49" i="8"/>
  <c r="D49" i="8"/>
  <c r="C49" i="8"/>
  <c r="B49" i="8"/>
  <c r="L32" i="8"/>
  <c r="L31" i="8"/>
  <c r="L30" i="8"/>
  <c r="L29" i="8"/>
  <c r="L28" i="8"/>
  <c r="L27" i="8"/>
  <c r="L26" i="8"/>
  <c r="L25" i="8"/>
  <c r="L24" i="8"/>
  <c r="L23" i="8"/>
  <c r="L22" i="8"/>
  <c r="L21" i="8"/>
  <c r="B16" i="8"/>
  <c r="B15" i="8"/>
  <c r="B14" i="8"/>
  <c r="B13" i="8"/>
  <c r="B12" i="8"/>
  <c r="K11" i="8"/>
  <c r="C11" i="8" s="1"/>
  <c r="H11" i="8"/>
  <c r="H10" i="8"/>
  <c r="K10" i="8" s="1"/>
  <c r="C10" i="8"/>
  <c r="H9" i="8"/>
  <c r="K9" i="8" s="1"/>
  <c r="C9" i="8" s="1"/>
  <c r="H8" i="8"/>
  <c r="K8" i="8" s="1"/>
  <c r="C8" i="8" s="1"/>
  <c r="H7" i="8"/>
  <c r="K7" i="8" s="1"/>
  <c r="C7" i="8"/>
  <c r="K6" i="8"/>
  <c r="C6" i="8"/>
  <c r="B30" i="7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230" i="7" s="1"/>
  <c r="B231" i="7" s="1"/>
  <c r="B232" i="7" s="1"/>
  <c r="B233" i="7" s="1"/>
  <c r="B234" i="7" s="1"/>
  <c r="B235" i="7" s="1"/>
  <c r="B236" i="7" s="1"/>
  <c r="Q15" i="7"/>
  <c r="O15" i="7"/>
  <c r="M15" i="7"/>
  <c r="O14" i="7"/>
  <c r="M14" i="7"/>
  <c r="Q14" i="7" s="1"/>
  <c r="Q13" i="7"/>
  <c r="O13" i="7"/>
  <c r="M13" i="7"/>
  <c r="B13" i="7"/>
  <c r="B12" i="7" s="1"/>
  <c r="O12" i="7"/>
  <c r="M12" i="7"/>
  <c r="Q12" i="7" s="1"/>
  <c r="O11" i="7"/>
  <c r="M11" i="7"/>
  <c r="Q11" i="7" s="1"/>
  <c r="B11" i="7"/>
  <c r="B10" i="7" s="1"/>
  <c r="B9" i="7" s="1"/>
  <c r="B8" i="7" s="1"/>
  <c r="Q10" i="7"/>
  <c r="O10" i="7"/>
  <c r="M10" i="7"/>
  <c r="O9" i="7"/>
  <c r="M9" i="7"/>
  <c r="Q9" i="7" s="1"/>
  <c r="O8" i="7"/>
  <c r="M8" i="7"/>
  <c r="Q8" i="7" s="1"/>
  <c r="O7" i="7"/>
  <c r="M7" i="7"/>
  <c r="Q7" i="7" s="1"/>
  <c r="B7" i="7"/>
  <c r="B6" i="7" s="1"/>
  <c r="B5" i="7" s="1"/>
  <c r="B4" i="7" s="1"/>
  <c r="Q6" i="7"/>
  <c r="O6" i="7"/>
  <c r="M6" i="7"/>
  <c r="O5" i="7"/>
  <c r="M5" i="7"/>
  <c r="Q5" i="7" s="1"/>
  <c r="Q4" i="7"/>
  <c r="O4" i="7"/>
  <c r="M4" i="7"/>
  <c r="O3" i="7"/>
  <c r="M3" i="7"/>
  <c r="Q3" i="7" s="1"/>
  <c r="Q2" i="7"/>
  <c r="O2" i="7"/>
  <c r="M2" i="7"/>
  <c r="D36" i="6"/>
  <c r="D35" i="6"/>
  <c r="S34" i="6"/>
  <c r="T34" i="6" s="1"/>
  <c r="O34" i="6"/>
  <c r="R34" i="6" s="1"/>
  <c r="S33" i="6"/>
  <c r="T33" i="6" s="1"/>
  <c r="O33" i="6"/>
  <c r="R33" i="6" s="1"/>
  <c r="S32" i="6"/>
  <c r="T32" i="6" s="1"/>
  <c r="O32" i="6"/>
  <c r="R32" i="6" s="1"/>
  <c r="S31" i="6"/>
  <c r="T31" i="6" s="1"/>
  <c r="O31" i="6"/>
  <c r="R31" i="6" s="1"/>
  <c r="S30" i="6"/>
  <c r="T30" i="6" s="1"/>
  <c r="O30" i="6"/>
  <c r="R30" i="6" s="1"/>
  <c r="S29" i="6"/>
  <c r="T29" i="6" s="1"/>
  <c r="O29" i="6"/>
  <c r="R29" i="6" s="1"/>
  <c r="S28" i="6"/>
  <c r="T28" i="6" s="1"/>
  <c r="O28" i="6"/>
  <c r="R28" i="6" s="1"/>
  <c r="S27" i="6"/>
  <c r="T27" i="6" s="1"/>
  <c r="O27" i="6"/>
  <c r="R27" i="6" s="1"/>
  <c r="S26" i="6"/>
  <c r="T26" i="6" s="1"/>
  <c r="O26" i="6"/>
  <c r="R26" i="6" s="1"/>
  <c r="R25" i="6"/>
  <c r="E25" i="6"/>
  <c r="R24" i="6"/>
  <c r="R23" i="6"/>
  <c r="R22" i="6"/>
  <c r="R21" i="6"/>
  <c r="R20" i="6"/>
  <c r="R19" i="6"/>
  <c r="R18" i="6"/>
  <c r="R17" i="6"/>
  <c r="R16" i="6"/>
  <c r="R15" i="6"/>
  <c r="S14" i="6"/>
  <c r="T14" i="6" s="1"/>
  <c r="O14" i="6"/>
  <c r="R14" i="6" s="1"/>
  <c r="J14" i="6"/>
  <c r="E14" i="6"/>
  <c r="O13" i="6"/>
  <c r="R13" i="6" s="1"/>
  <c r="S13" i="6"/>
  <c r="T13" i="6" s="1"/>
  <c r="J13" i="6"/>
  <c r="S12" i="6"/>
  <c r="T12" i="6" s="1"/>
  <c r="O12" i="6"/>
  <c r="R12" i="6" s="1"/>
  <c r="E12" i="6"/>
  <c r="S11" i="6"/>
  <c r="T11" i="6" s="1"/>
  <c r="O11" i="6"/>
  <c r="R11" i="6" s="1"/>
  <c r="S10" i="6"/>
  <c r="T10" i="6" s="1"/>
  <c r="O10" i="6"/>
  <c r="R10" i="6" s="1"/>
  <c r="S9" i="6"/>
  <c r="T9" i="6" s="1"/>
  <c r="O9" i="6"/>
  <c r="R9" i="6" s="1"/>
  <c r="S8" i="6"/>
  <c r="T8" i="6" s="1"/>
  <c r="O8" i="6"/>
  <c r="R8" i="6" s="1"/>
  <c r="J8" i="6"/>
  <c r="E8" i="6"/>
  <c r="S7" i="6"/>
  <c r="T7" i="6" s="1"/>
  <c r="O7" i="6"/>
  <c r="R7" i="6" s="1"/>
  <c r="S6" i="6"/>
  <c r="T6" i="6" s="1"/>
  <c r="O6" i="6"/>
  <c r="R6" i="6" s="1"/>
  <c r="M66" i="5"/>
  <c r="L66" i="5"/>
  <c r="K66" i="5"/>
  <c r="J66" i="5"/>
  <c r="I66" i="5"/>
  <c r="H66" i="5"/>
  <c r="G66" i="5"/>
  <c r="F66" i="5"/>
  <c r="E66" i="5"/>
  <c r="D66" i="5"/>
  <c r="C66" i="5"/>
  <c r="B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M49" i="5"/>
  <c r="L49" i="5"/>
  <c r="K49" i="5"/>
  <c r="J49" i="5"/>
  <c r="I49" i="5"/>
  <c r="H49" i="5"/>
  <c r="G49" i="5"/>
  <c r="F49" i="5"/>
  <c r="E49" i="5"/>
  <c r="D49" i="5"/>
  <c r="C49" i="5"/>
  <c r="B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F32" i="5"/>
  <c r="F31" i="5"/>
  <c r="F30" i="5"/>
  <c r="F29" i="5"/>
  <c r="F28" i="5"/>
  <c r="F27" i="5"/>
  <c r="F26" i="5"/>
  <c r="F25" i="5"/>
  <c r="F24" i="5"/>
  <c r="F23" i="5"/>
  <c r="F22" i="5"/>
  <c r="F21" i="5"/>
  <c r="B16" i="5"/>
  <c r="B15" i="5"/>
  <c r="B14" i="5"/>
  <c r="B13" i="5"/>
  <c r="B12" i="5"/>
  <c r="C11" i="5"/>
  <c r="C10" i="5"/>
  <c r="P9" i="5"/>
  <c r="C9" i="5"/>
  <c r="K6" i="5"/>
  <c r="C6" i="5" s="1"/>
  <c r="C113" i="3"/>
  <c r="B113" i="3"/>
  <c r="D107" i="3"/>
  <c r="E107" i="3" s="1"/>
  <c r="F107" i="3" s="1"/>
  <c r="H107" i="3" s="1"/>
  <c r="D97" i="3"/>
  <c r="E97" i="3" s="1"/>
  <c r="F97" i="3" s="1"/>
  <c r="H97" i="3" s="1"/>
  <c r="D91" i="3"/>
  <c r="E91" i="3" s="1"/>
  <c r="F91" i="3" s="1"/>
  <c r="H91" i="3" s="1"/>
  <c r="C86" i="3"/>
  <c r="B86" i="3"/>
  <c r="D85" i="3"/>
  <c r="E85" i="3" s="1"/>
  <c r="F85" i="3" s="1"/>
  <c r="H85" i="3" s="1"/>
  <c r="H84" i="3"/>
  <c r="D84" i="3"/>
  <c r="E84" i="3" s="1"/>
  <c r="F84" i="3" s="1"/>
  <c r="D83" i="3"/>
  <c r="E83" i="3" s="1"/>
  <c r="F83" i="3" s="1"/>
  <c r="H83" i="3" s="1"/>
  <c r="E82" i="3"/>
  <c r="F82" i="3" s="1"/>
  <c r="H82" i="3" s="1"/>
  <c r="D82" i="3"/>
  <c r="D81" i="3"/>
  <c r="E81" i="3" s="1"/>
  <c r="F81" i="3" s="1"/>
  <c r="H81" i="3" s="1"/>
  <c r="D80" i="3"/>
  <c r="E80" i="3" s="1"/>
  <c r="F80" i="3" s="1"/>
  <c r="H80" i="3" s="1"/>
  <c r="E79" i="3"/>
  <c r="F79" i="3" s="1"/>
  <c r="H79" i="3" s="1"/>
  <c r="D79" i="3"/>
  <c r="D78" i="3"/>
  <c r="E78" i="3" s="1"/>
  <c r="F78" i="3" s="1"/>
  <c r="H78" i="3" s="1"/>
  <c r="E77" i="3"/>
  <c r="F77" i="3" s="1"/>
  <c r="H77" i="3" s="1"/>
  <c r="D77" i="3"/>
  <c r="D76" i="3"/>
  <c r="E76" i="3" s="1"/>
  <c r="F76" i="3" s="1"/>
  <c r="H76" i="3" s="1"/>
  <c r="D75" i="3"/>
  <c r="E75" i="3" s="1"/>
  <c r="F75" i="3" s="1"/>
  <c r="H75" i="3" s="1"/>
  <c r="F74" i="3"/>
  <c r="H74" i="3" s="1"/>
  <c r="E74" i="3"/>
  <c r="D74" i="3"/>
  <c r="D73" i="3"/>
  <c r="E73" i="3" s="1"/>
  <c r="F73" i="3" s="1"/>
  <c r="H73" i="3" s="1"/>
  <c r="D72" i="3"/>
  <c r="E72" i="3" s="1"/>
  <c r="F72" i="3" s="1"/>
  <c r="H72" i="3" s="1"/>
  <c r="H71" i="3"/>
  <c r="D71" i="3"/>
  <c r="E71" i="3" s="1"/>
  <c r="F71" i="3" s="1"/>
  <c r="D70" i="3"/>
  <c r="E70" i="3" s="1"/>
  <c r="F70" i="3" s="1"/>
  <c r="H70" i="3" s="1"/>
  <c r="E69" i="3"/>
  <c r="F69" i="3" s="1"/>
  <c r="H69" i="3" s="1"/>
  <c r="D69" i="3"/>
  <c r="E68" i="3"/>
  <c r="F68" i="3" s="1"/>
  <c r="H68" i="3" s="1"/>
  <c r="D68" i="3"/>
  <c r="D67" i="3"/>
  <c r="E67" i="3" s="1"/>
  <c r="F67" i="3" s="1"/>
  <c r="H67" i="3" s="1"/>
  <c r="D66" i="3"/>
  <c r="E66" i="3" s="1"/>
  <c r="F66" i="3" s="1"/>
  <c r="H66" i="3" s="1"/>
  <c r="D65" i="3"/>
  <c r="E65" i="3" s="1"/>
  <c r="F65" i="3" s="1"/>
  <c r="H65" i="3" s="1"/>
  <c r="H64" i="3"/>
  <c r="D64" i="3"/>
  <c r="E64" i="3" s="1"/>
  <c r="F64" i="3" s="1"/>
  <c r="D63" i="3"/>
  <c r="E63" i="3" s="1"/>
  <c r="F63" i="3" s="1"/>
  <c r="H63" i="3" s="1"/>
  <c r="D62" i="3"/>
  <c r="E62" i="3" s="1"/>
  <c r="F62" i="3" s="1"/>
  <c r="H62" i="3" s="1"/>
  <c r="E61" i="3"/>
  <c r="F61" i="3" s="1"/>
  <c r="H61" i="3" s="1"/>
  <c r="D61" i="3"/>
  <c r="E60" i="3"/>
  <c r="D60" i="3"/>
  <c r="G57" i="3"/>
  <c r="F57" i="3"/>
  <c r="G56" i="3"/>
  <c r="F56" i="3"/>
  <c r="G55" i="3"/>
  <c r="F55" i="3"/>
  <c r="I54" i="3"/>
  <c r="K54" i="3" s="1"/>
  <c r="G54" i="3"/>
  <c r="F54" i="3"/>
  <c r="I53" i="3"/>
  <c r="K53" i="3" s="1"/>
  <c r="G53" i="3"/>
  <c r="F53" i="3"/>
  <c r="K52" i="3"/>
  <c r="I52" i="3"/>
  <c r="G52" i="3"/>
  <c r="F52" i="3"/>
  <c r="I51" i="3"/>
  <c r="J51" i="3" s="1"/>
  <c r="G51" i="3"/>
  <c r="F51" i="3"/>
  <c r="I50" i="3"/>
  <c r="K50" i="3" s="1"/>
  <c r="G50" i="3"/>
  <c r="F50" i="3"/>
  <c r="K49" i="3"/>
  <c r="J49" i="3"/>
  <c r="I49" i="3"/>
  <c r="G49" i="3"/>
  <c r="F49" i="3"/>
  <c r="I48" i="3"/>
  <c r="K48" i="3" s="1"/>
  <c r="G48" i="3"/>
  <c r="F48" i="3"/>
  <c r="J47" i="3"/>
  <c r="I47" i="3"/>
  <c r="K47" i="3" s="1"/>
  <c r="G47" i="3"/>
  <c r="F47" i="3"/>
  <c r="I46" i="3"/>
  <c r="K46" i="3" s="1"/>
  <c r="G46" i="3"/>
  <c r="F46" i="3"/>
  <c r="G45" i="3"/>
  <c r="F45" i="3"/>
  <c r="L41" i="3"/>
  <c r="K41" i="3"/>
  <c r="J41" i="3"/>
  <c r="I41" i="3"/>
  <c r="H41" i="3"/>
  <c r="G41" i="3"/>
  <c r="F41" i="3"/>
  <c r="E41" i="3"/>
  <c r="D41" i="3"/>
  <c r="C41" i="3"/>
  <c r="B41" i="3"/>
  <c r="N35" i="3"/>
  <c r="O35" i="3" s="1"/>
  <c r="L33" i="3"/>
  <c r="K33" i="3"/>
  <c r="J33" i="3"/>
  <c r="I33" i="3"/>
  <c r="H33" i="3"/>
  <c r="G33" i="3"/>
  <c r="F33" i="3"/>
  <c r="E33" i="3"/>
  <c r="D33" i="3"/>
  <c r="C33" i="3"/>
  <c r="B33" i="3"/>
  <c r="O32" i="3"/>
  <c r="M32" i="3"/>
  <c r="N32" i="3" s="1"/>
  <c r="M31" i="3"/>
  <c r="N31" i="3" s="1"/>
  <c r="M30" i="3"/>
  <c r="N30" i="3" s="1"/>
  <c r="M29" i="3"/>
  <c r="N29" i="3" s="1"/>
  <c r="M28" i="3"/>
  <c r="N28" i="3" s="1"/>
  <c r="G24" i="3"/>
  <c r="D24" i="3"/>
  <c r="G23" i="3"/>
  <c r="D23" i="3"/>
  <c r="G22" i="3"/>
  <c r="D22" i="3"/>
  <c r="G21" i="3"/>
  <c r="D21" i="3"/>
  <c r="G20" i="3"/>
  <c r="D20" i="3"/>
  <c r="G19" i="3"/>
  <c r="D19" i="3"/>
  <c r="G18" i="3"/>
  <c r="D18" i="3"/>
  <c r="G17" i="3"/>
  <c r="D17" i="3"/>
  <c r="G16" i="3"/>
  <c r="D16" i="3"/>
  <c r="G15" i="3"/>
  <c r="D15" i="3"/>
  <c r="G14" i="3"/>
  <c r="D14" i="3"/>
  <c r="D10" i="3"/>
  <c r="C10" i="3"/>
  <c r="J8" i="3"/>
  <c r="L8" i="3" s="1"/>
  <c r="H8" i="3"/>
  <c r="D8" i="3"/>
  <c r="F7" i="3"/>
  <c r="D7" i="3"/>
  <c r="F6" i="3"/>
  <c r="D6" i="3"/>
  <c r="F5" i="3"/>
  <c r="D5" i="3"/>
  <c r="F4" i="3"/>
  <c r="F8" i="3" s="1"/>
  <c r="F10" i="3" s="1"/>
  <c r="G10" i="3" s="1"/>
  <c r="D4" i="3"/>
  <c r="M258" i="2"/>
  <c r="L258" i="2"/>
  <c r="M256" i="2"/>
  <c r="L256" i="2"/>
  <c r="F256" i="2"/>
  <c r="E256" i="2"/>
  <c r="M255" i="2"/>
  <c r="L255" i="2"/>
  <c r="F254" i="2"/>
  <c r="E254" i="2"/>
  <c r="M253" i="2"/>
  <c r="L253" i="2"/>
  <c r="M252" i="2"/>
  <c r="L252" i="2"/>
  <c r="F252" i="2"/>
  <c r="E252" i="2"/>
  <c r="M250" i="2"/>
  <c r="L250" i="2"/>
  <c r="F250" i="2"/>
  <c r="E250" i="2"/>
  <c r="M249" i="2"/>
  <c r="L249" i="2"/>
  <c r="M248" i="2"/>
  <c r="L248" i="2"/>
  <c r="F248" i="2"/>
  <c r="E248" i="2"/>
  <c r="M246" i="2"/>
  <c r="L246" i="2"/>
  <c r="F246" i="2"/>
  <c r="E246" i="2"/>
  <c r="M245" i="2"/>
  <c r="L245" i="2"/>
  <c r="F244" i="2"/>
  <c r="E244" i="2"/>
  <c r="M243" i="2"/>
  <c r="L243" i="2"/>
  <c r="F242" i="2"/>
  <c r="E242" i="2"/>
  <c r="M241" i="2"/>
  <c r="L241" i="2"/>
  <c r="F240" i="2"/>
  <c r="E240" i="2"/>
  <c r="M239" i="2"/>
  <c r="L239" i="2"/>
  <c r="F239" i="2"/>
  <c r="E239" i="2"/>
  <c r="F238" i="2"/>
  <c r="E238" i="2"/>
  <c r="M237" i="2"/>
  <c r="L237" i="2"/>
  <c r="F237" i="2"/>
  <c r="E237" i="2"/>
  <c r="M236" i="2"/>
  <c r="L236" i="2"/>
  <c r="M235" i="2"/>
  <c r="L235" i="2"/>
  <c r="F235" i="2"/>
  <c r="E235" i="2"/>
  <c r="F234" i="2"/>
  <c r="E234" i="2"/>
  <c r="M233" i="2"/>
  <c r="L233" i="2"/>
  <c r="F232" i="2"/>
  <c r="E232" i="2"/>
  <c r="M231" i="2"/>
  <c r="L231" i="2"/>
  <c r="F230" i="2"/>
  <c r="E230" i="2"/>
  <c r="M229" i="2"/>
  <c r="L229" i="2"/>
  <c r="F229" i="2"/>
  <c r="E229" i="2"/>
  <c r="F228" i="2"/>
  <c r="E228" i="2"/>
  <c r="M227" i="2"/>
  <c r="L227" i="2"/>
  <c r="F226" i="2"/>
  <c r="E226" i="2"/>
  <c r="M225" i="2"/>
  <c r="L225" i="2"/>
  <c r="F224" i="2"/>
  <c r="E224" i="2"/>
  <c r="M223" i="2"/>
  <c r="L223" i="2"/>
  <c r="F222" i="2"/>
  <c r="E222" i="2"/>
  <c r="M221" i="2"/>
  <c r="L221" i="2"/>
  <c r="F220" i="2"/>
  <c r="E220" i="2"/>
  <c r="M219" i="2"/>
  <c r="L219" i="2"/>
  <c r="F218" i="2"/>
  <c r="E218" i="2"/>
  <c r="M217" i="2"/>
  <c r="L217" i="2"/>
  <c r="M216" i="2"/>
  <c r="L216" i="2"/>
  <c r="F216" i="2"/>
  <c r="E216" i="2"/>
  <c r="M215" i="2"/>
  <c r="L215" i="2"/>
  <c r="M214" i="2"/>
  <c r="L214" i="2"/>
  <c r="F214" i="2"/>
  <c r="E214" i="2"/>
  <c r="F213" i="2"/>
  <c r="E213" i="2"/>
  <c r="M212" i="2"/>
  <c r="L212" i="2"/>
  <c r="F212" i="2"/>
  <c r="E212" i="2"/>
  <c r="M211" i="2"/>
  <c r="L211" i="2"/>
  <c r="F211" i="2"/>
  <c r="E211" i="2"/>
  <c r="M210" i="2"/>
  <c r="L210" i="2"/>
  <c r="F210" i="2"/>
  <c r="E210" i="2"/>
  <c r="M209" i="2"/>
  <c r="L209" i="2"/>
  <c r="F209" i="2"/>
  <c r="E209" i="2"/>
  <c r="M208" i="2"/>
  <c r="L208" i="2"/>
  <c r="F208" i="2"/>
  <c r="E208" i="2"/>
  <c r="F204" i="2"/>
  <c r="D204" i="2"/>
  <c r="G203" i="2"/>
  <c r="E203" i="2"/>
  <c r="G202" i="2"/>
  <c r="E202" i="2"/>
  <c r="G201" i="2"/>
  <c r="E201" i="2"/>
  <c r="G200" i="2"/>
  <c r="E200" i="2"/>
  <c r="G199" i="2"/>
  <c r="E199" i="2"/>
  <c r="G198" i="2"/>
  <c r="E198" i="2"/>
  <c r="G197" i="2"/>
  <c r="E197" i="2"/>
  <c r="G196" i="2"/>
  <c r="E196" i="2"/>
  <c r="G195" i="2"/>
  <c r="E195" i="2"/>
  <c r="G194" i="2"/>
  <c r="E194" i="2"/>
  <c r="G193" i="2"/>
  <c r="E193" i="2"/>
  <c r="G192" i="2"/>
  <c r="E192" i="2"/>
  <c r="G191" i="2"/>
  <c r="E191" i="2"/>
  <c r="G190" i="2"/>
  <c r="E190" i="2"/>
  <c r="G189" i="2"/>
  <c r="E189" i="2"/>
  <c r="G188" i="2"/>
  <c r="E188" i="2"/>
  <c r="G187" i="2"/>
  <c r="E187" i="2"/>
  <c r="G186" i="2"/>
  <c r="E186" i="2"/>
  <c r="G185" i="2"/>
  <c r="E185" i="2"/>
  <c r="G184" i="2"/>
  <c r="E184" i="2"/>
  <c r="G183" i="2"/>
  <c r="E183" i="2"/>
  <c r="G182" i="2"/>
  <c r="E182" i="2"/>
  <c r="G181" i="2"/>
  <c r="E181" i="2"/>
  <c r="G180" i="2"/>
  <c r="E180" i="2"/>
  <c r="R178" i="2"/>
  <c r="D163" i="2"/>
  <c r="F162" i="2"/>
  <c r="E162" i="2"/>
  <c r="F160" i="2"/>
  <c r="E160" i="2"/>
  <c r="K158" i="2"/>
  <c r="F158" i="2"/>
  <c r="E158" i="2"/>
  <c r="M157" i="2"/>
  <c r="L157" i="2"/>
  <c r="F156" i="2"/>
  <c r="E156" i="2"/>
  <c r="M155" i="2"/>
  <c r="L155" i="2"/>
  <c r="F154" i="2"/>
  <c r="E154" i="2"/>
  <c r="M153" i="2"/>
  <c r="L153" i="2"/>
  <c r="M152" i="2"/>
  <c r="L152" i="2"/>
  <c r="F152" i="2"/>
  <c r="E152" i="2"/>
  <c r="M151" i="2"/>
  <c r="L151" i="2"/>
  <c r="F150" i="2"/>
  <c r="E150" i="2"/>
  <c r="M149" i="2"/>
  <c r="L149" i="2"/>
  <c r="F148" i="2"/>
  <c r="E148" i="2"/>
  <c r="M147" i="2"/>
  <c r="L147" i="2"/>
  <c r="F147" i="2"/>
  <c r="E147" i="2"/>
  <c r="M145" i="2"/>
  <c r="L145" i="2"/>
  <c r="F145" i="2"/>
  <c r="E145" i="2"/>
  <c r="M143" i="2"/>
  <c r="L143" i="2"/>
  <c r="F143" i="2"/>
  <c r="E143" i="2"/>
  <c r="F142" i="2"/>
  <c r="E142" i="2"/>
  <c r="M141" i="2"/>
  <c r="L141" i="2"/>
  <c r="F140" i="2"/>
  <c r="E140" i="2"/>
  <c r="M139" i="2"/>
  <c r="L139" i="2"/>
  <c r="F138" i="2"/>
  <c r="E138" i="2"/>
  <c r="M137" i="2"/>
  <c r="L137" i="2"/>
  <c r="S136" i="2"/>
  <c r="O136" i="2"/>
  <c r="F136" i="2"/>
  <c r="E136" i="2"/>
  <c r="M135" i="2"/>
  <c r="L135" i="2"/>
  <c r="F135" i="2"/>
  <c r="E135" i="2"/>
  <c r="F134" i="2"/>
  <c r="E134" i="2"/>
  <c r="M133" i="2"/>
  <c r="L133" i="2"/>
  <c r="M132" i="2"/>
  <c r="L132" i="2"/>
  <c r="F132" i="2"/>
  <c r="E132" i="2"/>
  <c r="M131" i="2"/>
  <c r="L131" i="2"/>
  <c r="F130" i="2"/>
  <c r="E130" i="2"/>
  <c r="M129" i="2"/>
  <c r="L129" i="2"/>
  <c r="F128" i="2"/>
  <c r="E128" i="2"/>
  <c r="M127" i="2"/>
  <c r="L127" i="2"/>
  <c r="F126" i="2"/>
  <c r="E126" i="2"/>
  <c r="M125" i="2"/>
  <c r="L125" i="2"/>
  <c r="F124" i="2"/>
  <c r="E124" i="2"/>
  <c r="M123" i="2"/>
  <c r="L123" i="2"/>
  <c r="F122" i="2"/>
  <c r="E122" i="2"/>
  <c r="M121" i="2"/>
  <c r="L121" i="2"/>
  <c r="F120" i="2"/>
  <c r="E120" i="2"/>
  <c r="M119" i="2"/>
  <c r="L119" i="2"/>
  <c r="F118" i="2"/>
  <c r="E118" i="2"/>
  <c r="M117" i="2"/>
  <c r="L117" i="2"/>
  <c r="F116" i="2"/>
  <c r="E116" i="2"/>
  <c r="M115" i="2"/>
  <c r="L115" i="2"/>
  <c r="M114" i="2"/>
  <c r="L114" i="2"/>
  <c r="F114" i="2"/>
  <c r="E114" i="2"/>
  <c r="F113" i="2"/>
  <c r="E113" i="2"/>
  <c r="M112" i="2"/>
  <c r="L112" i="2"/>
  <c r="F112" i="2"/>
  <c r="E112" i="2"/>
  <c r="M111" i="2"/>
  <c r="L111" i="2"/>
  <c r="F111" i="2"/>
  <c r="E111" i="2"/>
  <c r="F110" i="2"/>
  <c r="E110" i="2"/>
  <c r="M109" i="2"/>
  <c r="L109" i="2"/>
  <c r="F108" i="2"/>
  <c r="E108" i="2"/>
  <c r="M107" i="2"/>
  <c r="L107" i="2"/>
  <c r="F107" i="2"/>
  <c r="E107" i="2"/>
  <c r="M106" i="2"/>
  <c r="L106" i="2"/>
  <c r="F106" i="2"/>
  <c r="E106" i="2"/>
  <c r="M105" i="2"/>
  <c r="M158" i="2" s="1"/>
  <c r="L105" i="2"/>
  <c r="F105" i="2"/>
  <c r="E105" i="2"/>
  <c r="E103" i="2"/>
  <c r="M102" i="2"/>
  <c r="F102" i="2"/>
  <c r="F101" i="2"/>
  <c r="F100" i="2"/>
  <c r="F99" i="2"/>
  <c r="F98" i="2"/>
  <c r="F97" i="2"/>
  <c r="F96" i="2"/>
  <c r="F95" i="2"/>
  <c r="F94" i="2"/>
  <c r="F93" i="2"/>
  <c r="F92" i="2"/>
  <c r="F91" i="2"/>
  <c r="M90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N77" i="2"/>
  <c r="F77" i="2"/>
  <c r="Q67" i="2"/>
  <c r="Q65" i="2"/>
  <c r="Q63" i="2"/>
  <c r="Q62" i="2"/>
  <c r="Q60" i="2"/>
  <c r="H59" i="2"/>
  <c r="Q58" i="2"/>
  <c r="Q57" i="2"/>
  <c r="H57" i="2"/>
  <c r="Q55" i="2"/>
  <c r="H55" i="2"/>
  <c r="Q53" i="2"/>
  <c r="H53" i="2"/>
  <c r="Q51" i="2"/>
  <c r="H51" i="2"/>
  <c r="Q49" i="2"/>
  <c r="H49" i="2"/>
  <c r="Q47" i="2"/>
  <c r="H47" i="2"/>
  <c r="Q45" i="2"/>
  <c r="H45" i="2"/>
  <c r="H44" i="2"/>
  <c r="Q43" i="2"/>
  <c r="Q42" i="2"/>
  <c r="H42" i="2"/>
  <c r="Q41" i="2"/>
  <c r="H40" i="2"/>
  <c r="Q39" i="2"/>
  <c r="H39" i="2"/>
  <c r="Q37" i="2"/>
  <c r="H37" i="2"/>
  <c r="Q35" i="2"/>
  <c r="H35" i="2"/>
  <c r="Q33" i="2"/>
  <c r="H33" i="2"/>
  <c r="H32" i="2"/>
  <c r="Q31" i="2"/>
  <c r="H31" i="2"/>
  <c r="Q29" i="2"/>
  <c r="H29" i="2"/>
  <c r="Q27" i="2"/>
  <c r="H27" i="2"/>
  <c r="Q25" i="2"/>
  <c r="H25" i="2"/>
  <c r="Q24" i="2"/>
  <c r="Q23" i="2"/>
  <c r="H23" i="2"/>
  <c r="Q22" i="2"/>
  <c r="Q21" i="2"/>
  <c r="H21" i="2"/>
  <c r="Q19" i="2"/>
  <c r="H19" i="2"/>
  <c r="Q17" i="2"/>
  <c r="H17" i="2"/>
  <c r="Q16" i="2"/>
  <c r="Q15" i="2"/>
  <c r="H15" i="2"/>
  <c r="H13" i="2"/>
  <c r="H11" i="2"/>
  <c r="H10" i="2"/>
  <c r="H9" i="2"/>
  <c r="H8" i="2"/>
  <c r="H7" i="2"/>
  <c r="H5" i="2"/>
  <c r="H4" i="2"/>
  <c r="H3" i="2"/>
  <c r="H2" i="2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E72" i="1"/>
  <c r="G72" i="1" s="1"/>
  <c r="K71" i="1"/>
  <c r="K70" i="1"/>
  <c r="G70" i="1"/>
  <c r="E70" i="1"/>
  <c r="K69" i="1"/>
  <c r="K68" i="1"/>
  <c r="E68" i="1"/>
  <c r="G68" i="1" s="1"/>
  <c r="K67" i="1"/>
  <c r="K66" i="1"/>
  <c r="E66" i="1"/>
  <c r="G66" i="1" s="1"/>
  <c r="K65" i="1"/>
  <c r="C48" i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F28" i="1"/>
  <c r="G28" i="1" s="1"/>
  <c r="E28" i="1"/>
  <c r="E27" i="1"/>
  <c r="F27" i="1" s="1"/>
  <c r="G27" i="1" s="1"/>
  <c r="E26" i="1"/>
  <c r="F26" i="1" s="1"/>
  <c r="G26" i="1" s="1"/>
  <c r="E25" i="1"/>
  <c r="F25" i="1" s="1"/>
  <c r="G25" i="1" s="1"/>
  <c r="E24" i="1"/>
  <c r="F24" i="1" s="1"/>
  <c r="G24" i="1" s="1"/>
  <c r="J23" i="1"/>
  <c r="F23" i="1"/>
  <c r="G23" i="1" s="1"/>
  <c r="E23" i="1"/>
  <c r="E22" i="1"/>
  <c r="F22" i="1" s="1"/>
  <c r="G22" i="1" s="1"/>
  <c r="E21" i="1"/>
  <c r="F21" i="1" s="1"/>
  <c r="G21" i="1" s="1"/>
  <c r="E20" i="1"/>
  <c r="F20" i="1" s="1"/>
  <c r="G20" i="1" s="1"/>
  <c r="E19" i="1"/>
  <c r="F19" i="1" s="1"/>
  <c r="H13" i="1"/>
  <c r="I13" i="1" s="1"/>
  <c r="I14" i="1" s="1"/>
  <c r="F10" i="1"/>
  <c r="E10" i="1"/>
  <c r="E9" i="1"/>
  <c r="F9" i="1" s="1"/>
  <c r="E8" i="1"/>
  <c r="F8" i="1" s="1"/>
  <c r="F11" i="1" s="1"/>
  <c r="E5" i="1"/>
  <c r="E36" i="6" l="1"/>
  <c r="F48" i="1"/>
  <c r="G19" i="1"/>
  <c r="G48" i="1" s="1"/>
  <c r="A3" i="7"/>
  <c r="B2" i="7"/>
  <c r="R36" i="6"/>
  <c r="E86" i="3"/>
  <c r="J48" i="3"/>
  <c r="K51" i="3"/>
  <c r="N66" i="5"/>
  <c r="J54" i="3"/>
  <c r="D112" i="3"/>
  <c r="E112" i="3" s="1"/>
  <c r="F112" i="3" s="1"/>
  <c r="H112" i="3" s="1"/>
  <c r="D110" i="3"/>
  <c r="E110" i="3" s="1"/>
  <c r="F110" i="3" s="1"/>
  <c r="H110" i="3" s="1"/>
  <c r="D108" i="3"/>
  <c r="E108" i="3" s="1"/>
  <c r="F108" i="3" s="1"/>
  <c r="H108" i="3" s="1"/>
  <c r="D106" i="3"/>
  <c r="E106" i="3" s="1"/>
  <c r="F106" i="3" s="1"/>
  <c r="H106" i="3" s="1"/>
  <c r="D104" i="3"/>
  <c r="E104" i="3" s="1"/>
  <c r="F104" i="3" s="1"/>
  <c r="H104" i="3" s="1"/>
  <c r="D102" i="3"/>
  <c r="E102" i="3" s="1"/>
  <c r="F102" i="3" s="1"/>
  <c r="H102" i="3" s="1"/>
  <c r="D100" i="3"/>
  <c r="E100" i="3" s="1"/>
  <c r="F100" i="3" s="1"/>
  <c r="H100" i="3" s="1"/>
  <c r="D98" i="3"/>
  <c r="E98" i="3" s="1"/>
  <c r="F98" i="3" s="1"/>
  <c r="H98" i="3" s="1"/>
  <c r="D96" i="3"/>
  <c r="E96" i="3" s="1"/>
  <c r="F96" i="3" s="1"/>
  <c r="H96" i="3" s="1"/>
  <c r="D94" i="3"/>
  <c r="E94" i="3" s="1"/>
  <c r="F94" i="3" s="1"/>
  <c r="H94" i="3" s="1"/>
  <c r="D92" i="3"/>
  <c r="E92" i="3" s="1"/>
  <c r="F92" i="3" s="1"/>
  <c r="H92" i="3" s="1"/>
  <c r="D90" i="3"/>
  <c r="E90" i="3" s="1"/>
  <c r="F90" i="3" s="1"/>
  <c r="H90" i="3" s="1"/>
  <c r="D105" i="3"/>
  <c r="E105" i="3" s="1"/>
  <c r="F105" i="3" s="1"/>
  <c r="H105" i="3" s="1"/>
  <c r="D89" i="3"/>
  <c r="E89" i="3" s="1"/>
  <c r="D111" i="3"/>
  <c r="E111" i="3" s="1"/>
  <c r="F111" i="3" s="1"/>
  <c r="H111" i="3" s="1"/>
  <c r="D95" i="3"/>
  <c r="E95" i="3" s="1"/>
  <c r="F95" i="3" s="1"/>
  <c r="H95" i="3" s="1"/>
  <c r="D101" i="3"/>
  <c r="E101" i="3" s="1"/>
  <c r="F101" i="3" s="1"/>
  <c r="H101" i="3" s="1"/>
  <c r="N49" i="5"/>
  <c r="D93" i="3"/>
  <c r="E93" i="3" s="1"/>
  <c r="F93" i="3" s="1"/>
  <c r="H93" i="3" s="1"/>
  <c r="D103" i="3"/>
  <c r="E103" i="3" s="1"/>
  <c r="F103" i="3" s="1"/>
  <c r="H103" i="3" s="1"/>
  <c r="C17" i="8"/>
  <c r="F60" i="3"/>
  <c r="D99" i="3"/>
  <c r="E99" i="3" s="1"/>
  <c r="F99" i="3" s="1"/>
  <c r="H99" i="3" s="1"/>
  <c r="D109" i="3"/>
  <c r="E109" i="3" s="1"/>
  <c r="F109" i="3" s="1"/>
  <c r="H109" i="3" s="1"/>
  <c r="G15" i="11"/>
  <c r="C17" i="5"/>
  <c r="J46" i="3"/>
  <c r="J53" i="3"/>
  <c r="F86" i="3" l="1"/>
  <c r="H60" i="3"/>
  <c r="E113" i="3"/>
  <c r="F113" i="3" s="1"/>
  <c r="F89" i="3"/>
  <c r="H89" i="3" s="1"/>
  <c r="E53" i="7"/>
  <c r="F53" i="7" s="1"/>
  <c r="E45" i="7"/>
  <c r="F45" i="7" s="1"/>
  <c r="E37" i="7"/>
  <c r="F37" i="7" s="1"/>
  <c r="E29" i="7"/>
  <c r="F29" i="7" s="1"/>
  <c r="E25" i="7"/>
  <c r="F25" i="7" s="1"/>
  <c r="E21" i="7"/>
  <c r="F21" i="7" s="1"/>
  <c r="E17" i="7"/>
  <c r="F17" i="7" s="1"/>
  <c r="H25" i="6"/>
  <c r="H20" i="6"/>
  <c r="I17" i="6"/>
  <c r="H13" i="6"/>
  <c r="I9" i="6"/>
  <c r="I8" i="6"/>
  <c r="H7" i="6"/>
  <c r="H5" i="6"/>
  <c r="E50" i="7"/>
  <c r="F50" i="7" s="1"/>
  <c r="E42" i="7"/>
  <c r="F42" i="7" s="1"/>
  <c r="E34" i="7"/>
  <c r="F34" i="7" s="1"/>
  <c r="E13" i="7"/>
  <c r="F13" i="7" s="1"/>
  <c r="E9" i="7"/>
  <c r="F9" i="7" s="1"/>
  <c r="E5" i="7"/>
  <c r="F5" i="7" s="1"/>
  <c r="I22" i="6"/>
  <c r="H17" i="6"/>
  <c r="H9" i="6"/>
  <c r="H8" i="6"/>
  <c r="E47" i="7"/>
  <c r="F47" i="7" s="1"/>
  <c r="E39" i="7"/>
  <c r="F39" i="7" s="1"/>
  <c r="E31" i="7"/>
  <c r="F31" i="7" s="1"/>
  <c r="E28" i="7"/>
  <c r="F28" i="7" s="1"/>
  <c r="E24" i="7"/>
  <c r="F24" i="7" s="1"/>
  <c r="E20" i="7"/>
  <c r="F20" i="7" s="1"/>
  <c r="E16" i="7"/>
  <c r="F16" i="7" s="1"/>
  <c r="H22" i="6"/>
  <c r="I19" i="6"/>
  <c r="I10" i="6"/>
  <c r="E49" i="7"/>
  <c r="F49" i="7" s="1"/>
  <c r="E36" i="7"/>
  <c r="F36" i="7" s="1"/>
  <c r="E27" i="7"/>
  <c r="F27" i="7" s="1"/>
  <c r="E10" i="7"/>
  <c r="F10" i="7" s="1"/>
  <c r="I25" i="6"/>
  <c r="I15" i="6"/>
  <c r="I5" i="6"/>
  <c r="E44" i="7"/>
  <c r="F44" i="7" s="1"/>
  <c r="E32" i="7"/>
  <c r="F32" i="7" s="1"/>
  <c r="E8" i="7"/>
  <c r="F8" i="7" s="1"/>
  <c r="I18" i="6"/>
  <c r="I12" i="6"/>
  <c r="E52" i="7"/>
  <c r="F52" i="7" s="1"/>
  <c r="E40" i="7"/>
  <c r="F40" i="7" s="1"/>
  <c r="E26" i="7"/>
  <c r="F26" i="7" s="1"/>
  <c r="E19" i="7"/>
  <c r="F19" i="7" s="1"/>
  <c r="E15" i="7"/>
  <c r="F15" i="7" s="1"/>
  <c r="E6" i="7"/>
  <c r="F6" i="7" s="1"/>
  <c r="I21" i="6"/>
  <c r="H18" i="6"/>
  <c r="H12" i="6"/>
  <c r="I7" i="6"/>
  <c r="E48" i="7"/>
  <c r="F48" i="7" s="1"/>
  <c r="E35" i="7"/>
  <c r="F35" i="7" s="1"/>
  <c r="E33" i="7"/>
  <c r="F33" i="7" s="1"/>
  <c r="H21" i="6"/>
  <c r="I16" i="6"/>
  <c r="I14" i="6"/>
  <c r="E22" i="7"/>
  <c r="F22" i="7" s="1"/>
  <c r="I6" i="6"/>
  <c r="E46" i="7"/>
  <c r="F46" i="7" s="1"/>
  <c r="H6" i="6"/>
  <c r="E43" i="7"/>
  <c r="F43" i="7" s="1"/>
  <c r="E3" i="7"/>
  <c r="F3" i="7" s="1"/>
  <c r="E41" i="7"/>
  <c r="F41" i="7" s="1"/>
  <c r="E23" i="7"/>
  <c r="F23" i="7" s="1"/>
  <c r="E11" i="7"/>
  <c r="F11" i="7" s="1"/>
  <c r="I24" i="6"/>
  <c r="H16" i="6"/>
  <c r="H14" i="6"/>
  <c r="E38" i="7"/>
  <c r="F38" i="7" s="1"/>
  <c r="H19" i="6"/>
  <c r="E14" i="7"/>
  <c r="F14" i="7" s="1"/>
  <c r="H23" i="6"/>
  <c r="E12" i="7"/>
  <c r="F12" i="7" s="1"/>
  <c r="I11" i="6"/>
  <c r="E51" i="7"/>
  <c r="F51" i="7" s="1"/>
  <c r="I13" i="6"/>
  <c r="E4" i="7"/>
  <c r="F4" i="7" s="1"/>
  <c r="E2" i="7"/>
  <c r="F2" i="7" s="1"/>
  <c r="H24" i="6"/>
  <c r="I20" i="6"/>
  <c r="H10" i="6"/>
  <c r="E30" i="7"/>
  <c r="F30" i="7" s="1"/>
  <c r="I23" i="6"/>
  <c r="E18" i="7"/>
  <c r="F18" i="7" s="1"/>
  <c r="E7" i="7"/>
  <c r="F7" i="7" s="1"/>
  <c r="H11" i="6"/>
  <c r="B52" i="3"/>
  <c r="B46" i="3"/>
  <c r="B49" i="3"/>
  <c r="B55" i="3"/>
  <c r="B57" i="3"/>
  <c r="B50" i="3"/>
  <c r="B47" i="3"/>
  <c r="B51" i="3"/>
  <c r="B53" i="3"/>
  <c r="B54" i="3"/>
  <c r="B48" i="3"/>
  <c r="B45" i="3"/>
  <c r="B56" i="3"/>
</calcChain>
</file>

<file path=xl/sharedStrings.xml><?xml version="1.0" encoding="utf-8"?>
<sst xmlns="http://schemas.openxmlformats.org/spreadsheetml/2006/main" count="1412" uniqueCount="437">
  <si>
    <t>T/S</t>
  </si>
  <si>
    <t>FEM</t>
  </si>
  <si>
    <t>Displ.</t>
  </si>
  <si>
    <t>N</t>
  </si>
  <si>
    <t>kN</t>
  </si>
  <si>
    <t>ton</t>
  </si>
  <si>
    <t>Sea Static</t>
  </si>
  <si>
    <t>GRAIVITY WEIGHT</t>
  </si>
  <si>
    <t>Light Weight</t>
  </si>
  <si>
    <t>F.E. MODEL</t>
  </si>
  <si>
    <t>No.6 Car Deck</t>
  </si>
  <si>
    <t>GL6DP</t>
  </si>
  <si>
    <t>GL6DS</t>
  </si>
  <si>
    <t>No.8 Car Deck</t>
  </si>
  <si>
    <t>GL8DP</t>
  </si>
  <si>
    <t>GL8DS</t>
  </si>
  <si>
    <t>No.10 Above</t>
  </si>
  <si>
    <t>GL10DA</t>
  </si>
  <si>
    <t>DEAD WEIGHT</t>
  </si>
  <si>
    <t>Car Deck Abv</t>
  </si>
  <si>
    <t>Car Deck -10</t>
  </si>
  <si>
    <t>Car Deck -9</t>
  </si>
  <si>
    <t>Car Deck -8L</t>
  </si>
  <si>
    <t>Car Deck -7</t>
  </si>
  <si>
    <t>Car Deck -6L</t>
  </si>
  <si>
    <t>Car Deck -5</t>
  </si>
  <si>
    <t>Car Deck -4</t>
  </si>
  <si>
    <t>Car Deck -3</t>
  </si>
  <si>
    <t>Car Deck -2</t>
  </si>
  <si>
    <t>Car Deck -1</t>
  </si>
  <si>
    <t>FWT-P</t>
  </si>
  <si>
    <t>LC1</t>
  </si>
  <si>
    <t>SEA_STILL_WATER</t>
  </si>
  <si>
    <t>FWT-S</t>
  </si>
  <si>
    <t>LC2</t>
  </si>
  <si>
    <t>DBWBT1_PB</t>
  </si>
  <si>
    <t>DBWBT1_PT</t>
  </si>
  <si>
    <t>DWT-P</t>
  </si>
  <si>
    <t>LC3</t>
  </si>
  <si>
    <t>DBWBT1_SB</t>
  </si>
  <si>
    <t>DBWBT1_ST</t>
  </si>
  <si>
    <t>NO1_FOT-P</t>
  </si>
  <si>
    <t>LC4</t>
  </si>
  <si>
    <t>DBWBT2_CB</t>
  </si>
  <si>
    <t>DBWBT2_CT</t>
  </si>
  <si>
    <t>NO1_FOT-S</t>
  </si>
  <si>
    <t>LC5</t>
  </si>
  <si>
    <t>FOT1_PB</t>
  </si>
  <si>
    <t>FOT1_PT</t>
  </si>
  <si>
    <t>NO2_FOT-P</t>
  </si>
  <si>
    <t>LC6</t>
  </si>
  <si>
    <t>FOT1_SB</t>
  </si>
  <si>
    <t>FOT1_ST</t>
  </si>
  <si>
    <t>NO2_FOT-S</t>
  </si>
  <si>
    <t>LC7</t>
  </si>
  <si>
    <t>FOT2_PB</t>
  </si>
  <si>
    <t>FOT2_PT</t>
  </si>
  <si>
    <t>DOT-P</t>
  </si>
  <si>
    <t>LC8</t>
  </si>
  <si>
    <t>FOT2_SB</t>
  </si>
  <si>
    <t>FOT2_ST</t>
  </si>
  <si>
    <t>DOT-S</t>
  </si>
  <si>
    <t>LC9</t>
  </si>
  <si>
    <t>HEELTK_PB</t>
  </si>
  <si>
    <t>HEELTK_PT</t>
  </si>
  <si>
    <t>NO1_WBT-C</t>
  </si>
  <si>
    <t>LC10</t>
  </si>
  <si>
    <t>HEELTK_SB</t>
  </si>
  <si>
    <t>HEELTK_ST</t>
  </si>
  <si>
    <t>NO3_WBT-C</t>
  </si>
  <si>
    <t>LC11</t>
  </si>
  <si>
    <t>FWT_PB</t>
  </si>
  <si>
    <t>FWT_PT</t>
  </si>
  <si>
    <t>HEELING_TK-P</t>
  </si>
  <si>
    <t>LC12</t>
  </si>
  <si>
    <t>FWT_SB</t>
  </si>
  <si>
    <t>FWT_ST</t>
  </si>
  <si>
    <t>HEELING_TK-S</t>
  </si>
  <si>
    <t>LC13</t>
  </si>
  <si>
    <t>WBT1_CB</t>
  </si>
  <si>
    <t>WBT1_CT</t>
  </si>
  <si>
    <t>NO5_WBT-P</t>
  </si>
  <si>
    <t>LC14</t>
  </si>
  <si>
    <t>WBT3_CB</t>
  </si>
  <si>
    <t>WBT3_CT</t>
  </si>
  <si>
    <t>NO5_WBT-S</t>
  </si>
  <si>
    <t>LC15</t>
  </si>
  <si>
    <t>WBT5_PB</t>
  </si>
  <si>
    <t>WBT5_PT</t>
  </si>
  <si>
    <t>NO1_DBWBT-P</t>
  </si>
  <si>
    <t>LC16</t>
  </si>
  <si>
    <t>WBT5_SB</t>
  </si>
  <si>
    <t>WBT5_ST</t>
  </si>
  <si>
    <t>NO1_DBWBT-S</t>
  </si>
  <si>
    <t>LC17</t>
  </si>
  <si>
    <t>GRAV</t>
  </si>
  <si>
    <t>NO2_DBWBT-C</t>
  </si>
  <si>
    <t>6P</t>
  </si>
  <si>
    <t>F</t>
  </si>
  <si>
    <t>CAR6DP</t>
  </si>
  <si>
    <t>6S</t>
  </si>
  <si>
    <t>CAR6DS</t>
  </si>
  <si>
    <t>8P</t>
  </si>
  <si>
    <t>CAR8DP</t>
  </si>
  <si>
    <t>8S</t>
  </si>
  <si>
    <t>CAR8DS</t>
  </si>
  <si>
    <t>NO1_WBT_CB</t>
  </si>
  <si>
    <t>CAR_ABV_10_PILLAR</t>
  </si>
  <si>
    <t>CAR10DA</t>
  </si>
  <si>
    <t>GRV_ABV_10_PILLAR</t>
  </si>
  <si>
    <t>db_modify_lbc_name</t>
  </si>
  <si>
    <t>CAR_ABV_10_WALL</t>
  </si>
  <si>
    <t>T</t>
  </si>
  <si>
    <t>GRV_ABV_10_WALL</t>
  </si>
  <si>
    <t>CARL_10</t>
  </si>
  <si>
    <t>P</t>
  </si>
  <si>
    <t>CARL_2</t>
  </si>
  <si>
    <t>CARL_3</t>
  </si>
  <si>
    <t>CARL_4</t>
  </si>
  <si>
    <t>CARL_5</t>
  </si>
  <si>
    <t>CARL_7</t>
  </si>
  <si>
    <t>CARL_9</t>
  </si>
  <si>
    <t>FWT_TANK_PB</t>
  </si>
  <si>
    <t>FWT_TANK_PT</t>
  </si>
  <si>
    <t>FWT_TANK_SB</t>
  </si>
  <si>
    <t>FWT_TANK_ST</t>
  </si>
  <si>
    <t>HEELING_TK_PB</t>
  </si>
  <si>
    <t>HEELING_TK_PT</t>
  </si>
  <si>
    <t>HEELING_TK_SB</t>
  </si>
  <si>
    <t>HEELING_TK_ST</t>
  </si>
  <si>
    <t>DBWBT_NO1_PB</t>
  </si>
  <si>
    <t>DBWBT_NO1_PT</t>
  </si>
  <si>
    <t>DBWBT_NO1_SB</t>
  </si>
  <si>
    <t>DBWBT_NO1_ST</t>
  </si>
  <si>
    <t>WBT_NO1_CB</t>
  </si>
  <si>
    <t>NO1_WBT_CT</t>
  </si>
  <si>
    <t>NO2_DBWBT_CB</t>
  </si>
  <si>
    <t>NO2_DBWBT_CT</t>
  </si>
  <si>
    <t>FOT_NO1_PB</t>
  </si>
  <si>
    <t>FOT_NO1_PT</t>
  </si>
  <si>
    <t>FOT_NO1_SB</t>
  </si>
  <si>
    <t>FOT_NO1_ST</t>
  </si>
  <si>
    <t>NO2_FOT_PB</t>
  </si>
  <si>
    <t>NO2_FOT_PT</t>
  </si>
  <si>
    <t>NO2_FOT_SB</t>
  </si>
  <si>
    <t>NO2_FOT_ST</t>
  </si>
  <si>
    <t>NO3_WBT_CB</t>
  </si>
  <si>
    <t>NO3_WBT_CT</t>
  </si>
  <si>
    <t>NO5_WBT_PB</t>
  </si>
  <si>
    <t>NO5_WBT_PT</t>
  </si>
  <si>
    <t>NO5_WBT_SB</t>
  </si>
  <si>
    <t>NO5_WBT_ST</t>
  </si>
  <si>
    <t>TOTALS</t>
  </si>
  <si>
    <t>Node</t>
  </si>
  <si>
    <t>Force</t>
  </si>
  <si>
    <t>1S</t>
  </si>
  <si>
    <t>2S</t>
  </si>
  <si>
    <t>3S</t>
  </si>
  <si>
    <t>4S</t>
  </si>
  <si>
    <t>5S</t>
  </si>
  <si>
    <t>7S</t>
  </si>
  <si>
    <t>9S</t>
  </si>
  <si>
    <t>10S</t>
  </si>
  <si>
    <t>11S</t>
  </si>
  <si>
    <t>12S</t>
  </si>
  <si>
    <t>NODE</t>
  </si>
  <si>
    <t>FORCE</t>
  </si>
  <si>
    <t>NO.6 DK</t>
  </si>
  <si>
    <t>GL(ton)</t>
  </si>
  <si>
    <t>GL(N)/Node</t>
  </si>
  <si>
    <t>CAR(ton)</t>
  </si>
  <si>
    <t>CAR(N)/Node</t>
  </si>
  <si>
    <t>node-1</t>
  </si>
  <si>
    <t>node-2</t>
  </si>
  <si>
    <t>node-3</t>
  </si>
  <si>
    <t>node-4</t>
  </si>
  <si>
    <t>node-5</t>
  </si>
  <si>
    <t>node-6</t>
  </si>
  <si>
    <t>6-1P</t>
  </si>
  <si>
    <t>6-2P</t>
  </si>
  <si>
    <t>6-3P</t>
  </si>
  <si>
    <t>6-4P</t>
  </si>
  <si>
    <t>6-5P</t>
  </si>
  <si>
    <t>6-6P</t>
  </si>
  <si>
    <t>6-7P</t>
  </si>
  <si>
    <t>6-8P</t>
  </si>
  <si>
    <t>6-9P(F)</t>
  </si>
  <si>
    <t>6-9P(A)</t>
  </si>
  <si>
    <t>6-10P(F)</t>
  </si>
  <si>
    <t>6-10P(A)</t>
  </si>
  <si>
    <t>6-11P</t>
  </si>
  <si>
    <t>6-12P</t>
  </si>
  <si>
    <t>6-1S</t>
  </si>
  <si>
    <t>6-2S</t>
  </si>
  <si>
    <t>6-3S</t>
  </si>
  <si>
    <t>6-4S</t>
  </si>
  <si>
    <t>6-5S</t>
  </si>
  <si>
    <t>6-6S</t>
  </si>
  <si>
    <t>6-7S</t>
  </si>
  <si>
    <t>6-8S</t>
  </si>
  <si>
    <t>6-9S</t>
  </si>
  <si>
    <t>6-10S</t>
  </si>
  <si>
    <t>6-11S</t>
  </si>
  <si>
    <t>6-12S</t>
  </si>
  <si>
    <t>6DP</t>
  </si>
  <si>
    <t>6DS</t>
  </si>
  <si>
    <t>NO.8 DK</t>
  </si>
  <si>
    <t>nNode</t>
  </si>
  <si>
    <t>node-7</t>
  </si>
  <si>
    <t>8-1P</t>
  </si>
  <si>
    <t>8-2P</t>
  </si>
  <si>
    <t>8-3P</t>
  </si>
  <si>
    <t>8-4P</t>
  </si>
  <si>
    <t>8-5P</t>
  </si>
  <si>
    <t>8-6P</t>
  </si>
  <si>
    <t>8-7P</t>
  </si>
  <si>
    <t>8-8P</t>
  </si>
  <si>
    <t>8-9P</t>
  </si>
  <si>
    <t>8-10P</t>
  </si>
  <si>
    <t>8-11P</t>
  </si>
  <si>
    <t>8-12P</t>
  </si>
  <si>
    <t>8-1S</t>
  </si>
  <si>
    <t>8-2S</t>
  </si>
  <si>
    <t>8-3S</t>
  </si>
  <si>
    <t>8-4S</t>
  </si>
  <si>
    <t>8-5S</t>
  </si>
  <si>
    <t>8-6S</t>
  </si>
  <si>
    <t>8-7S</t>
  </si>
  <si>
    <t>8-8S</t>
  </si>
  <si>
    <t>8-9S</t>
  </si>
  <si>
    <t>8-10S</t>
  </si>
  <si>
    <t>8-11S</t>
  </si>
  <si>
    <t>8-12S</t>
  </si>
  <si>
    <t>8DP</t>
  </si>
  <si>
    <t>8DS</t>
  </si>
  <si>
    <t>* Deck Self Weight</t>
  </si>
  <si>
    <t>No.10 Deck Weight (Inlcuding No10~No13)</t>
  </si>
  <si>
    <t>DECK</t>
  </si>
  <si>
    <t>z</t>
  </si>
  <si>
    <t>Self Weight</t>
  </si>
  <si>
    <t>Steel Weight</t>
  </si>
  <si>
    <t>Outfitting</t>
  </si>
  <si>
    <t>NO.6L</t>
  </si>
  <si>
    <t>FR17~101</t>
  </si>
  <si>
    <t>FR#20~122</t>
  </si>
  <si>
    <t>NO.7</t>
  </si>
  <si>
    <t>FR101~198</t>
  </si>
  <si>
    <t>FR#122~198</t>
  </si>
  <si>
    <t>NO.8L</t>
  </si>
  <si>
    <t>FR198~215</t>
  </si>
  <si>
    <t>NO.9</t>
  </si>
  <si>
    <t>No.10 Deck</t>
  </si>
  <si>
    <t>NO.10</t>
  </si>
  <si>
    <t>Sub Total</t>
  </si>
  <si>
    <t>ABV NO.10</t>
  </si>
  <si>
    <t>TOTAL</t>
  </si>
  <si>
    <t>Total</t>
  </si>
  <si>
    <t>* Loading Condition List</t>
  </si>
  <si>
    <t>LC</t>
  </si>
  <si>
    <t>TLC(m)</t>
  </si>
  <si>
    <t>GM</t>
  </si>
  <si>
    <t>kr</t>
  </si>
  <si>
    <t>LWT</t>
  </si>
  <si>
    <t>DWT</t>
  </si>
  <si>
    <t>DISP</t>
  </si>
  <si>
    <t>Decription</t>
  </si>
  <si>
    <t>LC-14,15,16</t>
  </si>
  <si>
    <t>Condition No. 14, 15, 16 - Full Load (RT-43, U.W = 1.6 ton) Condition</t>
  </si>
  <si>
    <t>LC-17,18,19</t>
  </si>
  <si>
    <t>Condition No. 17, 18, 19 - RAV4L Load (U.W = 1.54 ton) Condition</t>
  </si>
  <si>
    <t>LC-20,21,22</t>
  </si>
  <si>
    <t>Condition No. 20, 21, 22 - RAV4L/FJ40 (U.W =1.54/1.9 ton) Load Condition</t>
  </si>
  <si>
    <t>LC-23,24,25</t>
  </si>
  <si>
    <t>Condition No. 23, 24, 25 - RAV4L/HD200D/FJ40 (U.W =1.54/18/1.9 ton) Load Condition</t>
  </si>
  <si>
    <t>LC-26,27,28</t>
  </si>
  <si>
    <t>Condition No. 26, 27, 28 - RAV4L/HD200D/FJ40 (U.W =1.54/18/1.9 ton) Case-1 Load Condition</t>
  </si>
  <si>
    <t>LC-32,33,34</t>
  </si>
  <si>
    <t>Condition No. 32, 33, 34 - RAV4L Case-1 (U.W=1.54 ton) Load Condition</t>
  </si>
  <si>
    <t>LC-35,36,37</t>
  </si>
  <si>
    <t>Condition No. 35, 36, 37 - RAV4L Case-2 (U.W=1.54 ton) Load Condition</t>
  </si>
  <si>
    <t>LC-38,39,40</t>
  </si>
  <si>
    <t>Condition No. 38, 39, 40 - RAV4L Case-3 (U.W=1.54 ton) Load Condition</t>
  </si>
  <si>
    <t>LC-41,42,43</t>
  </si>
  <si>
    <t>Condition No. 41, 42, 43 - RAV4L Case-4 (U.W=1.54 ton) Load Condition</t>
  </si>
  <si>
    <t>LC-44,45,46</t>
  </si>
  <si>
    <t>Condition No. 44, 45, 46 - RAV4L Case-5 (U.W=1.54 ton) Load Condition</t>
  </si>
  <si>
    <t>LC-47,48,49</t>
  </si>
  <si>
    <t>Condition No. 47, 48, 49 - RAV4L Case-6 (U.W=1.54 ton) Load Condition</t>
  </si>
  <si>
    <t>* Car Weight</t>
  </si>
  <si>
    <t>14,15,16</t>
  </si>
  <si>
    <t>17,18,19</t>
  </si>
  <si>
    <t>19,20,21</t>
  </si>
  <si>
    <t>23,24,25</t>
  </si>
  <si>
    <t>26,27,28</t>
  </si>
  <si>
    <t>32,33,34</t>
  </si>
  <si>
    <t>35,36,37</t>
  </si>
  <si>
    <t>38,39,40</t>
  </si>
  <si>
    <t>41,42,43</t>
  </si>
  <si>
    <t>44,45,46</t>
  </si>
  <si>
    <t>47,48,49</t>
  </si>
  <si>
    <t>Area</t>
  </si>
  <si>
    <t>* Number of Car</t>
  </si>
  <si>
    <t>HOLD</t>
  </si>
  <si>
    <t>DECK NO.</t>
  </si>
  <si>
    <t>A/B</t>
  </si>
  <si>
    <t>Eff. Deck Area</t>
  </si>
  <si>
    <t>Car Load(Max)</t>
  </si>
  <si>
    <t>Car Load(LC)</t>
  </si>
  <si>
    <t>m</t>
  </si>
  <si>
    <t>m^2</t>
  </si>
  <si>
    <t>NO.1</t>
  </si>
  <si>
    <t>NO.2</t>
  </si>
  <si>
    <t>NO.3</t>
  </si>
  <si>
    <t>NO.4</t>
  </si>
  <si>
    <t>NO.5</t>
  </si>
  <si>
    <t>NO.11</t>
  </si>
  <si>
    <t>NO.12</t>
  </si>
  <si>
    <t>NO.13</t>
  </si>
  <si>
    <t>Weight</t>
  </si>
  <si>
    <t>Ratio</t>
  </si>
  <si>
    <t>Car Weight</t>
  </si>
  <si>
    <t>Sum</t>
  </si>
  <si>
    <t>Deck Steel Weight</t>
  </si>
  <si>
    <t>Outfitting Weight</t>
  </si>
  <si>
    <t>All</t>
  </si>
  <si>
    <t>LC-29,30,31</t>
  </si>
  <si>
    <t>Condition No. 29, 30, 31 - RAV4L/HD200D/FJ40 (U.W =1.54/18/1.9 ton) Case-2 Load Condition</t>
  </si>
  <si>
    <t>29,30,31</t>
  </si>
  <si>
    <t>Max.</t>
  </si>
  <si>
    <t>Start-X</t>
  </si>
  <si>
    <t>End-X</t>
  </si>
  <si>
    <t>Start-Y</t>
  </si>
  <si>
    <t>End-Y</t>
  </si>
  <si>
    <t>Start-Z</t>
  </si>
  <si>
    <t>End-Z</t>
  </si>
  <si>
    <t>Volume</t>
  </si>
  <si>
    <t>Density</t>
  </si>
  <si>
    <t>Filling</t>
  </si>
  <si>
    <t>h</t>
  </si>
  <si>
    <t>p</t>
  </si>
  <si>
    <t>FR#</t>
  </si>
  <si>
    <t>mm</t>
  </si>
  <si>
    <t>m^3</t>
  </si>
  <si>
    <t>ton/m^3</t>
  </si>
  <si>
    <t>%</t>
  </si>
  <si>
    <t>N/mm^2</t>
  </si>
  <si>
    <t>D.W CONSTANTS</t>
  </si>
  <si>
    <t>FWT</t>
  </si>
  <si>
    <t>S</t>
  </si>
  <si>
    <t>NO1_FOT</t>
  </si>
  <si>
    <t>NO2_FOT</t>
  </si>
  <si>
    <t>DOT</t>
  </si>
  <si>
    <t>NO.11 CAR DECK</t>
  </si>
  <si>
    <t>NO.10 CAR DECK</t>
  </si>
  <si>
    <t>NO.9 CAR DECK</t>
  </si>
  <si>
    <t>NO.8 CAR DECK(Liftable)</t>
  </si>
  <si>
    <t>NO.7 CAR DECK</t>
  </si>
  <si>
    <t>NO6_CAR_DECK(Liftable)</t>
  </si>
  <si>
    <t>NO5_CAR_DECK(Loading)</t>
  </si>
  <si>
    <t>NO4_CAR_DECK</t>
  </si>
  <si>
    <t>NO3_CAR_DECK</t>
  </si>
  <si>
    <t>NO2_CAR_DECK</t>
  </si>
  <si>
    <t>NO1_CAR_DECK</t>
  </si>
  <si>
    <t>NO1_WBT</t>
  </si>
  <si>
    <t>C</t>
  </si>
  <si>
    <t>NO3_WBT</t>
  </si>
  <si>
    <t>HEELING_TK</t>
  </si>
  <si>
    <t>NO5_WBT</t>
  </si>
  <si>
    <t>NO1_DBWBT</t>
  </si>
  <si>
    <t>NO2_DBWBT</t>
  </si>
  <si>
    <t>DISP.</t>
  </si>
  <si>
    <t>LIGHT WEIGHT</t>
  </si>
  <si>
    <t>HULL(From F.E Model)</t>
  </si>
  <si>
    <t>No.8 CAR DECK</t>
  </si>
  <si>
    <t>No.6 CAR DECK</t>
  </si>
  <si>
    <t>Frame No.</t>
  </si>
  <si>
    <t>Web Frame</t>
  </si>
  <si>
    <t>STRING sgm_create_plane_po_created_ids[VIRTUAL]</t>
  </si>
  <si>
    <t>SIDE</t>
  </si>
  <si>
    <t>C.L</t>
  </si>
  <si>
    <t>Camber</t>
  </si>
  <si>
    <t>COMDK</t>
  </si>
  <si>
    <t>GRADK</t>
  </si>
  <si>
    <t>Loading Conditions</t>
  </si>
  <si>
    <t>Ls</t>
  </si>
  <si>
    <t>B</t>
  </si>
  <si>
    <t>D</t>
  </si>
  <si>
    <t>AXLE</t>
  </si>
  <si>
    <t>SPREAD</t>
  </si>
  <si>
    <t>TYRE</t>
  </si>
  <si>
    <t>kN/mm2</t>
  </si>
  <si>
    <t>u*y (mm)</t>
  </si>
  <si>
    <t>NO.8</t>
  </si>
  <si>
    <t>NO.6</t>
  </si>
  <si>
    <t>DESIGN S.W.B.M</t>
  </si>
  <si>
    <t>Ms Max</t>
  </si>
  <si>
    <t>kN-m</t>
  </si>
  <si>
    <t>Alloable Longitudinal Strength</t>
  </si>
  <si>
    <t>At Sea</t>
  </si>
  <si>
    <t>Position</t>
  </si>
  <si>
    <t>SF(+)</t>
  </si>
  <si>
    <t>SF(-)</t>
  </si>
  <si>
    <t>BM(Max.)</t>
  </si>
  <si>
    <t>BM(Min.)</t>
  </si>
  <si>
    <t>Draft</t>
  </si>
  <si>
    <t>LW</t>
  </si>
  <si>
    <t>BM</t>
  </si>
  <si>
    <t>Pos.</t>
  </si>
  <si>
    <t>SF</t>
  </si>
  <si>
    <t>MID</t>
  </si>
  <si>
    <t>Normal Ballast</t>
  </si>
  <si>
    <t>Full Load</t>
  </si>
  <si>
    <t>Condition No. 14, 15, 16 - Full Load Condition</t>
  </si>
  <si>
    <t>NO.4 HOLD</t>
  </si>
  <si>
    <t>NO.3 HOLD</t>
  </si>
  <si>
    <t>NO.2 HOLD</t>
  </si>
  <si>
    <t>NO.1 HOLD</t>
  </si>
  <si>
    <t>DECK TOTAL</t>
  </si>
  <si>
    <t>* Weight</t>
  </si>
  <si>
    <t>Condition No. 17, 18, 19 - RAV4L</t>
  </si>
  <si>
    <t>1p</t>
  </si>
  <si>
    <t>2p</t>
  </si>
  <si>
    <t>3p</t>
  </si>
  <si>
    <t>4p</t>
  </si>
  <si>
    <t>5p</t>
  </si>
  <si>
    <t>6p</t>
  </si>
  <si>
    <t>7p</t>
  </si>
  <si>
    <t>8p</t>
  </si>
  <si>
    <t>9p</t>
  </si>
  <si>
    <t>10p</t>
  </si>
  <si>
    <t>11p</t>
  </si>
  <si>
    <t>12p</t>
  </si>
  <si>
    <t>Engine Bed</t>
    <phoneticPr fontId="12" type="noConversion"/>
  </si>
  <si>
    <t>C</t>
    <phoneticPr fontId="12" type="noConversion"/>
  </si>
  <si>
    <t>Generator (3 set)</t>
    <phoneticPr fontId="12" type="noConversion"/>
  </si>
  <si>
    <t>ay_env</t>
    <phoneticPr fontId="12" type="noConversion"/>
  </si>
  <si>
    <t>g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</si>
</sst>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0.0"/>
    <numFmt numFmtId="177" formatCode="0.00\.E+00"/>
    <numFmt numFmtId="178" formatCode="0_);[Red]\(0\)"/>
    <numFmt numFmtId="179" formatCode="0.000"/>
    <numFmt numFmtId="180" formatCode="0.0_ "/>
    <numFmt numFmtId="181" formatCode="0_ "/>
    <numFmt numFmtId="182" formatCode="0.00000"/>
    <numFmt numFmtId="183" formatCode="0.0000"/>
    <numFmt numFmtId="194" formatCode="0.00000_ "/>
    <numFmt numFmtId="196" formatCode="0.00_ "/>
  </numFmts>
  <fonts count="13" x14ac:knownFonts="1">
    <font>
      <sz val="11"/>
      <color rgb="FF000000"/>
      <name val="맑은 고딕"/>
      <family val="2"/>
      <charset val="1"/>
    </font>
    <font>
      <b/>
      <sz val="11"/>
      <color rgb="FFFF0000"/>
      <name val="맑은 고딕"/>
      <family val="3"/>
      <charset val="129"/>
    </font>
    <font>
      <sz val="9"/>
      <color rgb="FF000000"/>
      <name val="Arial"/>
      <family val="2"/>
      <charset val="1"/>
    </font>
    <font>
      <sz val="10"/>
      <color rgb="FF000000"/>
      <name val="맑은 고딕"/>
      <family val="2"/>
      <charset val="129"/>
    </font>
    <font>
      <b/>
      <sz val="12"/>
      <color rgb="FF287ACC"/>
      <name val="맑은 고딕"/>
      <family val="2"/>
      <charset val="1"/>
    </font>
    <font>
      <b/>
      <sz val="12"/>
      <color rgb="FF287ACC"/>
      <name val="Arial"/>
      <family val="2"/>
      <charset val="1"/>
    </font>
    <font>
      <b/>
      <sz val="11"/>
      <color rgb="FF000000"/>
      <name val="맑은 고딕"/>
      <family val="3"/>
      <charset val="129"/>
    </font>
    <font>
      <sz val="11"/>
      <name val="맑은 고딕"/>
      <family val="2"/>
      <charset val="1"/>
    </font>
    <font>
      <sz val="11"/>
      <color rgb="FF000000"/>
      <name val="맑은 고딕"/>
      <family val="3"/>
      <charset val="129"/>
    </font>
    <font>
      <sz val="11"/>
      <color rgb="FFFF0000"/>
      <name val="맑은 고딕"/>
      <family val="2"/>
      <charset val="1"/>
    </font>
    <font>
      <sz val="11"/>
      <color rgb="FFFF0000"/>
      <name val="맑은 고딕"/>
      <family val="3"/>
      <charset val="129"/>
    </font>
    <font>
      <sz val="11"/>
      <color rgb="FF000000"/>
      <name val="맑은 고딕"/>
      <family val="2"/>
      <charset val="1"/>
    </font>
    <font>
      <sz val="8"/>
      <name val="돋움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rgb="FFADB9CA"/>
        <bgColor rgb="FF9DC3E6"/>
      </patternFill>
    </fill>
    <fill>
      <patternFill patternType="solid">
        <fgColor rgb="FFA9D18E"/>
        <bgColor rgb="FFC5E0B4"/>
      </patternFill>
    </fill>
    <fill>
      <patternFill patternType="solid">
        <fgColor rgb="FFFFFF00"/>
        <bgColor rgb="FFFFFF00"/>
      </patternFill>
    </fill>
    <fill>
      <patternFill patternType="solid">
        <fgColor rgb="FF9DC3E6"/>
        <bgColor rgb="FFADB9CA"/>
      </patternFill>
    </fill>
    <fill>
      <patternFill patternType="solid">
        <fgColor rgb="FFC55A11"/>
        <bgColor rgb="FF993300"/>
      </patternFill>
    </fill>
    <fill>
      <patternFill patternType="solid">
        <fgColor rgb="FF548235"/>
        <bgColor rgb="FF339966"/>
      </patternFill>
    </fill>
    <fill>
      <patternFill patternType="solid">
        <fgColor rgb="FF2E75B6"/>
        <bgColor rgb="FF287ACC"/>
      </patternFill>
    </fill>
    <fill>
      <patternFill patternType="solid">
        <fgColor rgb="FFBF9000"/>
        <bgColor rgb="FFC55A11"/>
      </patternFill>
    </fill>
    <fill>
      <patternFill patternType="solid">
        <fgColor rgb="FF8497B0"/>
        <bgColor rgb="FF808080"/>
      </patternFill>
    </fill>
    <fill>
      <patternFill patternType="solid">
        <fgColor rgb="FFF8CBAD"/>
        <bgColor rgb="FFFFE699"/>
      </patternFill>
    </fill>
    <fill>
      <patternFill patternType="solid">
        <fgColor rgb="FFC5E0B4"/>
        <bgColor rgb="FFBDD7EE"/>
      </patternFill>
    </fill>
    <fill>
      <patternFill patternType="solid">
        <fgColor rgb="FFFFE699"/>
        <bgColor rgb="FFF8CBAD"/>
      </patternFill>
    </fill>
    <fill>
      <patternFill patternType="solid">
        <fgColor rgb="FFBDD7EE"/>
        <bgColor rgb="FFC5E0B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1" fillId="0" borderId="0" applyBorder="0" applyProtection="0"/>
  </cellStyleXfs>
  <cellXfs count="144">
    <xf numFmtId="0" fontId="0" fillId="0" borderId="0" xfId="0"/>
    <xf numFmtId="0" fontId="8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/>
    <xf numFmtId="1" fontId="0" fillId="0" borderId="0" xfId="0" applyNumberFormat="1"/>
    <xf numFmtId="176" fontId="0" fillId="0" borderId="0" xfId="0" applyNumberFormat="1" applyAlignment="1">
      <alignment horizontal="center"/>
    </xf>
    <xf numFmtId="177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1" fontId="0" fillId="0" borderId="1" xfId="0" applyNumberFormat="1" applyBorder="1"/>
    <xf numFmtId="0" fontId="0" fillId="0" borderId="0" xfId="0"/>
    <xf numFmtId="0" fontId="0" fillId="0" borderId="0" xfId="0" applyBorder="1"/>
    <xf numFmtId="176" fontId="0" fillId="2" borderId="1" xfId="0" applyNumberFormat="1" applyFill="1" applyBorder="1" applyAlignment="1">
      <alignment horizontal="center"/>
    </xf>
    <xf numFmtId="176" fontId="0" fillId="0" borderId="0" xfId="0" applyNumberFormat="1"/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0" fillId="2" borderId="1" xfId="0" applyNumberFormat="1" applyFill="1" applyBorder="1"/>
    <xf numFmtId="176" fontId="0" fillId="0" borderId="1" xfId="0" applyNumberFormat="1" applyBorder="1" applyAlignment="1">
      <alignment horizontal="center"/>
    </xf>
    <xf numFmtId="11" fontId="0" fillId="0" borderId="0" xfId="0" applyNumberFormat="1"/>
    <xf numFmtId="0" fontId="4" fillId="0" borderId="0" xfId="0" applyFont="1"/>
    <xf numFmtId="0" fontId="5" fillId="0" borderId="0" xfId="0" applyFont="1"/>
    <xf numFmtId="9" fontId="0" fillId="0" borderId="0" xfId="0" applyNumberFormat="1"/>
    <xf numFmtId="9" fontId="0" fillId="0" borderId="0" xfId="1" applyFont="1" applyBorder="1" applyAlignment="1" applyProtection="1"/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78" fontId="0" fillId="0" borderId="0" xfId="0" applyNumberFormat="1" applyAlignment="1">
      <alignment horizontal="center"/>
    </xf>
    <xf numFmtId="178" fontId="0" fillId="0" borderId="0" xfId="0" applyNumberFormat="1"/>
    <xf numFmtId="0" fontId="0" fillId="0" borderId="1" xfId="0" applyFont="1" applyBorder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80" fontId="0" fillId="0" borderId="0" xfId="0" applyNumberFormat="1" applyAlignment="1">
      <alignment horizontal="center"/>
    </xf>
    <xf numFmtId="0" fontId="0" fillId="0" borderId="0" xfId="0" applyAlignment="1"/>
    <xf numFmtId="0" fontId="0" fillId="0" borderId="0" xfId="0" applyBorder="1" applyAlignment="1"/>
    <xf numFmtId="0" fontId="0" fillId="0" borderId="3" xfId="0" applyBorder="1" applyAlignment="1">
      <alignment horizontal="center"/>
    </xf>
    <xf numFmtId="18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0" xfId="0" applyFill="1"/>
    <xf numFmtId="1" fontId="0" fillId="4" borderId="0" xfId="0" applyNumberFormat="1" applyFill="1" applyAlignment="1">
      <alignment horizontal="center"/>
    </xf>
    <xf numFmtId="179" fontId="0" fillId="4" borderId="0" xfId="0" applyNumberFormat="1" applyFill="1" applyAlignment="1">
      <alignment horizontal="center"/>
    </xf>
    <xf numFmtId="1" fontId="0" fillId="4" borderId="0" xfId="0" applyNumberFormat="1" applyFill="1"/>
    <xf numFmtId="0" fontId="0" fillId="5" borderId="0" xfId="0" applyFill="1"/>
    <xf numFmtId="0" fontId="6" fillId="0" borderId="0" xfId="0" applyFont="1" applyBorder="1" applyAlignment="1"/>
    <xf numFmtId="0" fontId="0" fillId="0" borderId="0" xfId="0" applyFont="1" applyAlignment="1"/>
    <xf numFmtId="0" fontId="7" fillId="0" borderId="0" xfId="0" applyFont="1" applyBorder="1" applyAlignment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0" fillId="5" borderId="1" xfId="0" applyFont="1" applyFill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0" fontId="0" fillId="0" borderId="4" xfId="0" applyFont="1" applyBorder="1" applyAlignment="1">
      <alignment horizontal="center"/>
    </xf>
    <xf numFmtId="176" fontId="0" fillId="0" borderId="5" xfId="0" applyNumberForma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5" xfId="0" applyBorder="1"/>
    <xf numFmtId="0" fontId="0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8" xfId="0" applyBorder="1"/>
    <xf numFmtId="176" fontId="7" fillId="0" borderId="0" xfId="0" applyNumberFormat="1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/>
    <xf numFmtId="0" fontId="0" fillId="5" borderId="11" xfId="0" applyFont="1" applyFill="1" applyBorder="1" applyAlignment="1">
      <alignment horizontal="center"/>
    </xf>
    <xf numFmtId="176" fontId="0" fillId="5" borderId="12" xfId="0" applyNumberFormat="1" applyFill="1" applyBorder="1" applyAlignment="1">
      <alignment horizontal="center"/>
    </xf>
    <xf numFmtId="0" fontId="0" fillId="5" borderId="13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176" fontId="0" fillId="5" borderId="14" xfId="0" applyNumberFormat="1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176" fontId="0" fillId="5" borderId="1" xfId="0" applyNumberFormat="1" applyFill="1" applyBorder="1" applyAlignment="1">
      <alignment horizontal="center"/>
    </xf>
    <xf numFmtId="181" fontId="0" fillId="0" borderId="2" xfId="0" applyNumberFormat="1" applyBorder="1" applyAlignment="1">
      <alignment horizontal="center"/>
    </xf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4" xfId="0" applyFon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82" fontId="0" fillId="0" borderId="0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0" fillId="0" borderId="0" xfId="0" applyNumberFormat="1" applyBorder="1"/>
    <xf numFmtId="0" fontId="6" fillId="0" borderId="0" xfId="0" applyFont="1"/>
    <xf numFmtId="0" fontId="8" fillId="0" borderId="1" xfId="0" applyFont="1" applyBorder="1" applyAlignment="1">
      <alignment horizontal="center"/>
    </xf>
    <xf numFmtId="182" fontId="0" fillId="0" borderId="0" xfId="0" applyNumberFormat="1" applyAlignment="1">
      <alignment horizontal="center"/>
    </xf>
    <xf numFmtId="182" fontId="0" fillId="0" borderId="19" xfId="0" applyNumberFormat="1" applyBorder="1" applyAlignment="1">
      <alignment horizontal="center"/>
    </xf>
    <xf numFmtId="182" fontId="0" fillId="0" borderId="16" xfId="0" applyNumberFormat="1" applyBorder="1" applyAlignment="1">
      <alignment horizontal="center"/>
    </xf>
    <xf numFmtId="176" fontId="0" fillId="0" borderId="16" xfId="0" applyNumberFormat="1" applyBorder="1" applyAlignment="1">
      <alignment horizontal="center"/>
    </xf>
    <xf numFmtId="18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5" borderId="3" xfId="0" applyFont="1" applyFill="1" applyBorder="1" applyAlignment="1">
      <alignment horizontal="center"/>
    </xf>
    <xf numFmtId="176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0" fillId="5" borderId="20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0" fillId="10" borderId="1" xfId="0" applyFont="1" applyFill="1" applyBorder="1"/>
    <xf numFmtId="0" fontId="9" fillId="0" borderId="1" xfId="0" applyFont="1" applyBorder="1"/>
    <xf numFmtId="0" fontId="9" fillId="0" borderId="0" xfId="0" applyFont="1" applyBorder="1"/>
    <xf numFmtId="0" fontId="9" fillId="11" borderId="1" xfId="0" applyFont="1" applyFill="1" applyBorder="1" applyAlignment="1">
      <alignment horizontal="center"/>
    </xf>
    <xf numFmtId="0" fontId="0" fillId="12" borderId="1" xfId="0" applyFill="1" applyBorder="1"/>
    <xf numFmtId="0" fontId="0" fillId="12" borderId="1" xfId="0" applyFill="1" applyBorder="1" applyAlignment="1"/>
    <xf numFmtId="0" fontId="0" fillId="5" borderId="1" xfId="0" applyFill="1" applyBorder="1"/>
    <xf numFmtId="0" fontId="0" fillId="13" borderId="1" xfId="0" applyFill="1" applyBorder="1"/>
    <xf numFmtId="0" fontId="0" fillId="2" borderId="1" xfId="0" applyFill="1" applyBorder="1"/>
    <xf numFmtId="0" fontId="0" fillId="11" borderId="1" xfId="0" applyFill="1" applyBorder="1" applyAlignment="1">
      <alignment horizontal="center"/>
    </xf>
    <xf numFmtId="0" fontId="0" fillId="5" borderId="1" xfId="0" applyFill="1" applyBorder="1"/>
    <xf numFmtId="0" fontId="0" fillId="13" borderId="1" xfId="0" applyFill="1" applyBorder="1"/>
    <xf numFmtId="176" fontId="0" fillId="2" borderId="1" xfId="0" applyNumberFormat="1" applyFill="1" applyBorder="1"/>
    <xf numFmtId="9" fontId="0" fillId="2" borderId="1" xfId="0" applyNumberFormat="1" applyFill="1" applyBorder="1"/>
    <xf numFmtId="2" fontId="0" fillId="2" borderId="1" xfId="0" applyNumberFormat="1" applyFill="1" applyBorder="1" applyAlignment="1">
      <alignment horizontal="center"/>
    </xf>
    <xf numFmtId="183" fontId="0" fillId="2" borderId="1" xfId="0" applyNumberFormat="1" applyFill="1" applyBorder="1" applyAlignment="1">
      <alignment horizontal="center"/>
    </xf>
    <xf numFmtId="0" fontId="10" fillId="0" borderId="16" xfId="0" applyFont="1" applyBorder="1"/>
    <xf numFmtId="0" fontId="0" fillId="2" borderId="1" xfId="0" applyFill="1" applyBorder="1"/>
    <xf numFmtId="0" fontId="0" fillId="13" borderId="1" xfId="0" applyFill="1" applyBorder="1" applyAlignment="1">
      <alignment horizontal="center"/>
    </xf>
    <xf numFmtId="9" fontId="0" fillId="2" borderId="1" xfId="1" applyFont="1" applyFill="1" applyBorder="1" applyAlignment="1" applyProtection="1"/>
    <xf numFmtId="2" fontId="0" fillId="2" borderId="0" xfId="0" applyNumberFormat="1" applyFill="1" applyBorder="1" applyAlignment="1">
      <alignment horizontal="center"/>
    </xf>
    <xf numFmtId="183" fontId="0" fillId="2" borderId="0" xfId="0" applyNumberFormat="1" applyFill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0" fontId="0" fillId="0" borderId="0" xfId="0" applyFont="1" applyBorder="1"/>
    <xf numFmtId="179" fontId="0" fillId="5" borderId="0" xfId="0" applyNumberFormat="1" applyFill="1"/>
    <xf numFmtId="0" fontId="0" fillId="3" borderId="0" xfId="0" applyFill="1"/>
    <xf numFmtId="0" fontId="0" fillId="14" borderId="0" xfId="0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" fontId="1" fillId="0" borderId="1" xfId="0" applyNumberFormat="1" applyFont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176" fontId="0" fillId="5" borderId="1" xfId="0" applyNumberFormat="1" applyFont="1" applyFill="1" applyBorder="1" applyAlignment="1">
      <alignment horizontal="center"/>
    </xf>
    <xf numFmtId="0" fontId="0" fillId="0" borderId="0" xfId="0" applyNumberFormat="1"/>
    <xf numFmtId="194" fontId="0" fillId="0" borderId="0" xfId="0" applyNumberFormat="1"/>
    <xf numFmtId="181" fontId="0" fillId="0" borderId="0" xfId="0" applyNumberFormat="1"/>
    <xf numFmtId="196" fontId="0" fillId="0" borderId="0" xfId="0" applyNumberFormat="1" applyFont="1" applyAlignment="1">
      <alignment horizont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2E75B6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DC3E6"/>
      <rgbColor rgb="FFFF99CC"/>
      <rgbColor rgb="FFCC99FF"/>
      <rgbColor rgb="FFF8CBAD"/>
      <rgbColor rgb="FF287ACC"/>
      <rgbColor rgb="FF33CCCC"/>
      <rgbColor rgb="FFA9D18E"/>
      <rgbColor rgb="FFFFCC00"/>
      <rgbColor rgb="FFBF9000"/>
      <rgbColor rgb="FFC55A11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14"/>
  <sheetViews>
    <sheetView zoomScaleNormal="100" workbookViewId="0">
      <selection activeCell="C20" sqref="C20"/>
    </sheetView>
  </sheetViews>
  <sheetFormatPr defaultRowHeight="16.5" x14ac:dyDescent="0.3"/>
  <cols>
    <col min="1" max="1" width="20.125" customWidth="1"/>
    <col min="2" max="2" width="11.75" customWidth="1"/>
    <col min="3" max="3" width="13.25" customWidth="1"/>
    <col min="4" max="4" width="10.5" customWidth="1"/>
    <col min="5" max="5" width="11.375" customWidth="1"/>
    <col min="6" max="6" width="8.625" customWidth="1"/>
    <col min="7" max="7" width="11.5"/>
    <col min="8" max="8" width="8.625" customWidth="1"/>
    <col min="9" max="9" width="10" customWidth="1"/>
    <col min="10" max="10" width="8.625" customWidth="1"/>
    <col min="11" max="11" width="10.375" customWidth="1"/>
    <col min="12" max="12" width="12.25" customWidth="1"/>
    <col min="13" max="14" width="8.625" customWidth="1"/>
    <col min="15" max="15" width="21.125" customWidth="1"/>
    <col min="16" max="1025" width="8.625" customWidth="1"/>
  </cols>
  <sheetData>
    <row r="2" spans="1:9" x14ac:dyDescent="0.3">
      <c r="C2" s="4" t="s">
        <v>0</v>
      </c>
      <c r="D2" s="3" t="s">
        <v>1</v>
      </c>
      <c r="E2" s="3"/>
      <c r="F2" s="3"/>
    </row>
    <row r="3" spans="1:9" x14ac:dyDescent="0.3">
      <c r="C3" s="4" t="s">
        <v>2</v>
      </c>
      <c r="D3" s="4" t="s">
        <v>3</v>
      </c>
      <c r="E3" s="4" t="s">
        <v>4</v>
      </c>
      <c r="F3" s="4" t="s">
        <v>5</v>
      </c>
    </row>
    <row r="4" spans="1:9" x14ac:dyDescent="0.3">
      <c r="C4" s="4"/>
      <c r="D4" s="4"/>
      <c r="E4" s="4"/>
      <c r="F4" s="4"/>
    </row>
    <row r="5" spans="1:9" x14ac:dyDescent="0.3">
      <c r="A5" t="s">
        <v>6</v>
      </c>
      <c r="C5" s="4">
        <v>25789</v>
      </c>
      <c r="D5">
        <v>252831568</v>
      </c>
      <c r="E5" s="4">
        <f>D5/1000</f>
        <v>252831.568</v>
      </c>
      <c r="F5" s="5">
        <v>25775.599999999999</v>
      </c>
    </row>
    <row r="6" spans="1:9" x14ac:dyDescent="0.3">
      <c r="A6" s="6" t="s">
        <v>7</v>
      </c>
      <c r="C6" s="4"/>
      <c r="E6" s="4"/>
      <c r="F6" s="5"/>
    </row>
    <row r="7" spans="1:9" x14ac:dyDescent="0.3">
      <c r="A7" t="s">
        <v>8</v>
      </c>
      <c r="C7" s="4">
        <v>12983</v>
      </c>
      <c r="F7" s="4">
        <v>7846</v>
      </c>
      <c r="G7" s="4" t="s">
        <v>9</v>
      </c>
    </row>
    <row r="8" spans="1:9" x14ac:dyDescent="0.3">
      <c r="A8" t="s">
        <v>10</v>
      </c>
      <c r="C8" s="4">
        <v>454</v>
      </c>
      <c r="D8" s="7">
        <v>4453740.5</v>
      </c>
      <c r="E8" s="5">
        <f>D8/1000</f>
        <v>4453.7404999999999</v>
      </c>
      <c r="F8" s="8">
        <f>E8/9.81</f>
        <v>454.00005096839953</v>
      </c>
      <c r="G8" s="4" t="s">
        <v>11</v>
      </c>
      <c r="H8" s="4" t="s">
        <v>12</v>
      </c>
    </row>
    <row r="9" spans="1:9" x14ac:dyDescent="0.3">
      <c r="A9" t="s">
        <v>13</v>
      </c>
      <c r="C9" s="4">
        <v>422.8</v>
      </c>
      <c r="D9" s="7">
        <v>4147667.5</v>
      </c>
      <c r="E9" s="5">
        <f>D9/1000</f>
        <v>4147.6674999999996</v>
      </c>
      <c r="F9" s="8">
        <f>E9/9.81</f>
        <v>422.79994903160036</v>
      </c>
      <c r="G9" s="4" t="s">
        <v>14</v>
      </c>
      <c r="H9" s="4" t="s">
        <v>15</v>
      </c>
    </row>
    <row r="10" spans="1:9" x14ac:dyDescent="0.3">
      <c r="A10" t="s">
        <v>16</v>
      </c>
      <c r="C10" s="4">
        <v>1156</v>
      </c>
      <c r="D10">
        <v>9972846</v>
      </c>
      <c r="E10" s="5">
        <f>D10/1000</f>
        <v>9972.8459999999995</v>
      </c>
      <c r="F10" s="5">
        <f>E10/9.81</f>
        <v>1016.5999999999999</v>
      </c>
      <c r="G10" s="4" t="s">
        <v>17</v>
      </c>
    </row>
    <row r="11" spans="1:9" x14ac:dyDescent="0.3">
      <c r="C11" s="4"/>
      <c r="F11" s="4">
        <f>SUM(F7:F10)</f>
        <v>9739.4</v>
      </c>
    </row>
    <row r="12" spans="1:9" x14ac:dyDescent="0.3">
      <c r="C12" s="4"/>
      <c r="F12" s="4"/>
    </row>
    <row r="13" spans="1:9" x14ac:dyDescent="0.3">
      <c r="C13" s="4"/>
      <c r="F13" s="4"/>
      <c r="H13">
        <f>2.89</f>
        <v>2.89</v>
      </c>
      <c r="I13">
        <f>9.81*1*H13</f>
        <v>28.350900000000003</v>
      </c>
    </row>
    <row r="14" spans="1:9" x14ac:dyDescent="0.3">
      <c r="C14" s="4"/>
      <c r="F14" s="4"/>
      <c r="I14" s="9">
        <f>I13/1000</f>
        <v>2.8350900000000002E-2</v>
      </c>
    </row>
    <row r="15" spans="1:9" x14ac:dyDescent="0.3">
      <c r="C15" s="4"/>
      <c r="F15" s="4"/>
    </row>
    <row r="16" spans="1:9" x14ac:dyDescent="0.3">
      <c r="C16" s="4"/>
      <c r="F16" s="4"/>
    </row>
    <row r="17" spans="1:12" x14ac:dyDescent="0.3">
      <c r="C17" s="4"/>
      <c r="F17" s="4"/>
    </row>
    <row r="18" spans="1:12" x14ac:dyDescent="0.3">
      <c r="A18" s="6" t="s">
        <v>18</v>
      </c>
      <c r="C18" s="4"/>
      <c r="F18" s="4"/>
    </row>
    <row r="19" spans="1:12" x14ac:dyDescent="0.3">
      <c r="A19" t="s">
        <v>19</v>
      </c>
      <c r="C19" s="10">
        <v>577</v>
      </c>
      <c r="D19" s="11">
        <v>9972846</v>
      </c>
      <c r="E19" s="11">
        <f t="shared" ref="E19:E28" si="0">D19/1000</f>
        <v>9972.8459999999995</v>
      </c>
      <c r="F19" s="12">
        <f t="shared" ref="F19:F28" si="1">E19/9.81</f>
        <v>1016.5999999999999</v>
      </c>
      <c r="G19" s="12">
        <f t="shared" ref="G19:G28" si="2">F19</f>
        <v>1016.5999999999999</v>
      </c>
    </row>
    <row r="20" spans="1:12" x14ac:dyDescent="0.3">
      <c r="A20" t="s">
        <v>20</v>
      </c>
      <c r="C20" s="10">
        <v>540</v>
      </c>
      <c r="D20" s="13">
        <v>5241771</v>
      </c>
      <c r="E20" s="11">
        <f t="shared" si="0"/>
        <v>5241.7709999999997</v>
      </c>
      <c r="F20" s="12">
        <f t="shared" si="1"/>
        <v>534.32935779816512</v>
      </c>
      <c r="G20" s="12">
        <f t="shared" si="2"/>
        <v>534.32935779816512</v>
      </c>
    </row>
    <row r="21" spans="1:12" x14ac:dyDescent="0.3">
      <c r="A21" t="s">
        <v>21</v>
      </c>
      <c r="C21" s="10">
        <v>825</v>
      </c>
      <c r="D21" s="13">
        <v>8448203</v>
      </c>
      <c r="E21" s="11">
        <f t="shared" si="0"/>
        <v>8448.2029999999995</v>
      </c>
      <c r="F21" s="12">
        <f t="shared" si="1"/>
        <v>861.18277268093777</v>
      </c>
      <c r="G21" s="12">
        <f t="shared" si="2"/>
        <v>861.18277268093777</v>
      </c>
    </row>
    <row r="22" spans="1:12" x14ac:dyDescent="0.3">
      <c r="A22" t="s">
        <v>22</v>
      </c>
      <c r="C22" s="10">
        <v>828</v>
      </c>
      <c r="D22" s="13">
        <v>8122677.5</v>
      </c>
      <c r="E22" s="11">
        <f t="shared" si="0"/>
        <v>8122.6774999999998</v>
      </c>
      <c r="F22" s="12">
        <f t="shared" si="1"/>
        <v>827.99974515800193</v>
      </c>
      <c r="G22" s="12">
        <f t="shared" si="2"/>
        <v>827.99974515800193</v>
      </c>
    </row>
    <row r="23" spans="1:12" x14ac:dyDescent="0.3">
      <c r="A23" t="s">
        <v>23</v>
      </c>
      <c r="C23" s="10">
        <v>648</v>
      </c>
      <c r="D23" s="13">
        <v>7159624.5</v>
      </c>
      <c r="E23" s="11">
        <f t="shared" si="0"/>
        <v>7159.6244999999999</v>
      </c>
      <c r="F23" s="12">
        <f t="shared" si="1"/>
        <v>729.82920489296635</v>
      </c>
      <c r="G23" s="12">
        <f t="shared" si="2"/>
        <v>729.82920489296635</v>
      </c>
      <c r="J23">
        <f>5.71*0.98*9.81/1000</f>
        <v>5.4894798000000002E-2</v>
      </c>
    </row>
    <row r="24" spans="1:12" x14ac:dyDescent="0.3">
      <c r="A24" t="s">
        <v>24</v>
      </c>
      <c r="C24" s="10">
        <v>747</v>
      </c>
      <c r="D24" s="13">
        <v>7328068.5</v>
      </c>
      <c r="E24" s="11">
        <f t="shared" si="0"/>
        <v>7328.0685000000003</v>
      </c>
      <c r="F24" s="12">
        <f t="shared" si="1"/>
        <v>746.99984709480123</v>
      </c>
      <c r="G24" s="12">
        <f t="shared" si="2"/>
        <v>746.99984709480123</v>
      </c>
      <c r="K24" s="14">
        <v>5.4900002000000003E-2</v>
      </c>
    </row>
    <row r="25" spans="1:12" x14ac:dyDescent="0.3">
      <c r="A25" t="s">
        <v>25</v>
      </c>
      <c r="C25" s="10">
        <v>707</v>
      </c>
      <c r="D25" s="13">
        <v>7331222.5</v>
      </c>
      <c r="E25" s="11">
        <f t="shared" si="0"/>
        <v>7331.2224999999999</v>
      </c>
      <c r="F25" s="12">
        <f t="shared" si="1"/>
        <v>747.32135575942914</v>
      </c>
      <c r="G25" s="12">
        <f t="shared" si="2"/>
        <v>747.32135575942914</v>
      </c>
    </row>
    <row r="26" spans="1:12" x14ac:dyDescent="0.3">
      <c r="A26" t="s">
        <v>26</v>
      </c>
      <c r="C26" s="10">
        <v>174</v>
      </c>
      <c r="D26" s="13">
        <v>1728997.25</v>
      </c>
      <c r="E26" s="11">
        <f t="shared" si="0"/>
        <v>1728.9972499999999</v>
      </c>
      <c r="F26" s="12">
        <f t="shared" si="1"/>
        <v>176.24844546381243</v>
      </c>
      <c r="G26" s="12">
        <f t="shared" si="2"/>
        <v>176.24844546381243</v>
      </c>
    </row>
    <row r="27" spans="1:12" x14ac:dyDescent="0.3">
      <c r="A27" t="s">
        <v>27</v>
      </c>
      <c r="C27" s="10">
        <v>174</v>
      </c>
      <c r="D27" s="13">
        <v>1708765.125</v>
      </c>
      <c r="E27" s="11">
        <f t="shared" si="0"/>
        <v>1708.7651249999999</v>
      </c>
      <c r="F27" s="12">
        <f t="shared" si="1"/>
        <v>174.18604740061161</v>
      </c>
      <c r="G27" s="12">
        <f t="shared" si="2"/>
        <v>174.18604740061161</v>
      </c>
    </row>
    <row r="28" spans="1:12" x14ac:dyDescent="0.3">
      <c r="A28" t="s">
        <v>28</v>
      </c>
      <c r="C28" s="10">
        <v>126</v>
      </c>
      <c r="D28" s="13">
        <v>1191189.875</v>
      </c>
      <c r="E28" s="11">
        <f t="shared" si="0"/>
        <v>1191.189875</v>
      </c>
      <c r="F28" s="12">
        <f t="shared" si="1"/>
        <v>121.42608307849133</v>
      </c>
      <c r="G28" s="12">
        <f t="shared" si="2"/>
        <v>121.42608307849133</v>
      </c>
    </row>
    <row r="29" spans="1:12" x14ac:dyDescent="0.3">
      <c r="A29" t="s">
        <v>29</v>
      </c>
      <c r="C29" s="10">
        <v>0</v>
      </c>
      <c r="D29" s="11"/>
      <c r="E29" s="11"/>
      <c r="F29" s="11"/>
    </row>
    <row r="30" spans="1:12" x14ac:dyDescent="0.3">
      <c r="A30" s="11" t="s">
        <v>30</v>
      </c>
      <c r="B30" s="15"/>
      <c r="C30" s="16">
        <v>74.470200000000006</v>
      </c>
      <c r="D30" s="11">
        <v>6045682</v>
      </c>
      <c r="E30" s="11">
        <f t="shared" ref="E30:E47" si="3">D30/1000</f>
        <v>6045.6819999999998</v>
      </c>
      <c r="F30" s="12">
        <f t="shared" ref="F30:F47" si="4">E30/9.81</f>
        <v>616.27747196738017</v>
      </c>
      <c r="G30" s="17">
        <v>75.867288481141699</v>
      </c>
      <c r="I30" t="s">
        <v>31</v>
      </c>
      <c r="J30">
        <v>-25775.596330275199</v>
      </c>
      <c r="K30" s="18" t="s">
        <v>32</v>
      </c>
      <c r="L30" s="19">
        <v>1</v>
      </c>
    </row>
    <row r="31" spans="1:12" x14ac:dyDescent="0.3">
      <c r="A31" s="11" t="s">
        <v>33</v>
      </c>
      <c r="B31" s="15"/>
      <c r="C31" s="16">
        <v>74.706299999999999</v>
      </c>
      <c r="D31" s="11">
        <v>4342538</v>
      </c>
      <c r="E31" s="11">
        <f t="shared" si="3"/>
        <v>4342.5379999999996</v>
      </c>
      <c r="F31" s="12">
        <f t="shared" si="4"/>
        <v>442.66442405708455</v>
      </c>
      <c r="G31" s="17">
        <v>76.154658511722701</v>
      </c>
      <c r="I31" t="s">
        <v>34</v>
      </c>
      <c r="J31">
        <v>392.497247706422</v>
      </c>
      <c r="K31" s="20" t="s">
        <v>35</v>
      </c>
      <c r="L31" s="20" t="s">
        <v>36</v>
      </c>
    </row>
    <row r="32" spans="1:12" x14ac:dyDescent="0.3">
      <c r="A32" s="11" t="s">
        <v>37</v>
      </c>
      <c r="B32" s="15"/>
      <c r="C32" s="16">
        <v>101.09</v>
      </c>
      <c r="D32" s="11"/>
      <c r="E32" s="11">
        <f t="shared" si="3"/>
        <v>0</v>
      </c>
      <c r="F32" s="12">
        <f t="shared" si="4"/>
        <v>0</v>
      </c>
      <c r="G32" s="17"/>
      <c r="I32" t="s">
        <v>38</v>
      </c>
      <c r="J32">
        <v>392.49582059123298</v>
      </c>
      <c r="K32" s="20" t="s">
        <v>39</v>
      </c>
      <c r="L32" s="20" t="s">
        <v>40</v>
      </c>
    </row>
    <row r="33" spans="1:12" x14ac:dyDescent="0.3">
      <c r="A33" s="11" t="s">
        <v>41</v>
      </c>
      <c r="B33" s="15"/>
      <c r="C33" s="16">
        <v>585.85968000000003</v>
      </c>
      <c r="D33" s="11">
        <v>25455348</v>
      </c>
      <c r="E33" s="11">
        <f t="shared" si="3"/>
        <v>25455.348000000002</v>
      </c>
      <c r="F33" s="12">
        <f t="shared" si="4"/>
        <v>2594.8366972477065</v>
      </c>
      <c r="G33" s="17">
        <v>584.99327217125403</v>
      </c>
      <c r="H33" s="21">
        <v>650.95519999999999</v>
      </c>
      <c r="I33" t="s">
        <v>42</v>
      </c>
      <c r="J33">
        <v>1442.3781855249699</v>
      </c>
      <c r="K33" s="20" t="s">
        <v>43</v>
      </c>
      <c r="L33" s="20" t="s">
        <v>44</v>
      </c>
    </row>
    <row r="34" spans="1:12" x14ac:dyDescent="0.3">
      <c r="A34" s="11" t="s">
        <v>45</v>
      </c>
      <c r="B34" s="15"/>
      <c r="C34" s="16">
        <v>565.90002000000004</v>
      </c>
      <c r="D34" s="11">
        <v>25452514</v>
      </c>
      <c r="E34" s="11">
        <f t="shared" si="3"/>
        <v>25452.513999999999</v>
      </c>
      <c r="F34" s="12">
        <f t="shared" si="4"/>
        <v>2594.5478083588173</v>
      </c>
      <c r="G34" s="17">
        <v>584.99408766564704</v>
      </c>
      <c r="H34" s="21">
        <v>628.77779999999996</v>
      </c>
      <c r="I34" t="s">
        <v>46</v>
      </c>
      <c r="J34">
        <v>584.99327217125403</v>
      </c>
      <c r="K34" s="20" t="s">
        <v>47</v>
      </c>
      <c r="L34" s="20" t="s">
        <v>48</v>
      </c>
    </row>
    <row r="35" spans="1:12" x14ac:dyDescent="0.3">
      <c r="A35" s="11" t="s">
        <v>49</v>
      </c>
      <c r="B35" s="15"/>
      <c r="C35" s="16">
        <v>543.32425000000001</v>
      </c>
      <c r="D35" s="11">
        <v>25543484</v>
      </c>
      <c r="E35" s="11">
        <f t="shared" si="3"/>
        <v>25543.484</v>
      </c>
      <c r="F35" s="12">
        <f t="shared" si="4"/>
        <v>2603.8209989806319</v>
      </c>
      <c r="G35" s="17">
        <v>553.81967380224296</v>
      </c>
      <c r="H35" s="21">
        <v>639.20500000000004</v>
      </c>
      <c r="I35" t="s">
        <v>50</v>
      </c>
      <c r="J35">
        <v>584.99408766564704</v>
      </c>
      <c r="K35" s="20" t="s">
        <v>51</v>
      </c>
      <c r="L35" s="20" t="s">
        <v>52</v>
      </c>
    </row>
    <row r="36" spans="1:12" x14ac:dyDescent="0.3">
      <c r="A36" s="11" t="s">
        <v>53</v>
      </c>
      <c r="B36" s="15"/>
      <c r="C36" s="16">
        <v>540.34211000000005</v>
      </c>
      <c r="D36" s="11">
        <v>25539050</v>
      </c>
      <c r="E36" s="11">
        <f t="shared" si="3"/>
        <v>25539.05</v>
      </c>
      <c r="F36" s="12">
        <f t="shared" si="4"/>
        <v>2603.3690112130475</v>
      </c>
      <c r="G36" s="17">
        <v>553.81967380224296</v>
      </c>
      <c r="H36" s="21">
        <v>635.69659999999999</v>
      </c>
      <c r="I36" t="s">
        <v>54</v>
      </c>
      <c r="J36">
        <v>553.81967380224296</v>
      </c>
      <c r="K36" s="20" t="s">
        <v>55</v>
      </c>
      <c r="L36" s="20" t="s">
        <v>56</v>
      </c>
    </row>
    <row r="37" spans="1:12" x14ac:dyDescent="0.3">
      <c r="A37" s="11" t="s">
        <v>57</v>
      </c>
      <c r="B37" s="15"/>
      <c r="C37" s="16">
        <v>51.076079999999997</v>
      </c>
      <c r="D37" s="11"/>
      <c r="E37" s="11">
        <f t="shared" si="3"/>
        <v>0</v>
      </c>
      <c r="F37" s="12">
        <f t="shared" si="4"/>
        <v>0</v>
      </c>
      <c r="G37" s="17"/>
      <c r="I37" t="s">
        <v>58</v>
      </c>
      <c r="J37">
        <v>553.81967380224296</v>
      </c>
      <c r="K37" s="20" t="s">
        <v>59</v>
      </c>
      <c r="L37" s="20" t="s">
        <v>60</v>
      </c>
    </row>
    <row r="38" spans="1:12" x14ac:dyDescent="0.3">
      <c r="A38" s="11" t="s">
        <v>61</v>
      </c>
      <c r="B38" s="15"/>
      <c r="C38" s="16">
        <v>38.20608</v>
      </c>
      <c r="D38" s="11"/>
      <c r="E38" s="11">
        <f t="shared" si="3"/>
        <v>0</v>
      </c>
      <c r="F38" s="12">
        <f t="shared" si="4"/>
        <v>0</v>
      </c>
      <c r="G38" s="17"/>
      <c r="I38" t="s">
        <v>62</v>
      </c>
      <c r="J38">
        <v>335.27461773700298</v>
      </c>
      <c r="K38" s="20" t="s">
        <v>63</v>
      </c>
      <c r="L38" s="20" t="s">
        <v>64</v>
      </c>
    </row>
    <row r="39" spans="1:12" x14ac:dyDescent="0.3">
      <c r="A39" s="11" t="s">
        <v>65</v>
      </c>
      <c r="B39" s="15"/>
      <c r="C39" s="22">
        <v>132.28649999999999</v>
      </c>
      <c r="D39" s="11">
        <v>5195062</v>
      </c>
      <c r="E39" s="11">
        <f t="shared" si="3"/>
        <v>5195.0619999999999</v>
      </c>
      <c r="F39" s="12">
        <f t="shared" si="4"/>
        <v>529.56799184505599</v>
      </c>
      <c r="G39" s="17">
        <v>132.42324159021399</v>
      </c>
      <c r="H39">
        <v>132.28649999999999</v>
      </c>
      <c r="I39" t="s">
        <v>66</v>
      </c>
      <c r="J39">
        <v>302.39459734964299</v>
      </c>
      <c r="K39" s="20" t="s">
        <v>67</v>
      </c>
      <c r="L39" s="20" t="s">
        <v>68</v>
      </c>
    </row>
    <row r="40" spans="1:12" x14ac:dyDescent="0.3">
      <c r="A40" s="11" t="s">
        <v>69</v>
      </c>
      <c r="B40" s="15"/>
      <c r="C40" s="22">
        <v>656.14350000000002</v>
      </c>
      <c r="D40" s="11">
        <v>26432420</v>
      </c>
      <c r="E40" s="11">
        <f t="shared" si="3"/>
        <v>26432.42</v>
      </c>
      <c r="F40" s="12">
        <f t="shared" si="4"/>
        <v>2694.4362895005092</v>
      </c>
      <c r="G40" s="17">
        <v>675.96941896024498</v>
      </c>
      <c r="H40">
        <v>656.14350000000002</v>
      </c>
      <c r="I40" t="s">
        <v>70</v>
      </c>
      <c r="J40">
        <v>75.867288481141699</v>
      </c>
      <c r="K40" s="20" t="s">
        <v>71</v>
      </c>
      <c r="L40" s="20" t="s">
        <v>72</v>
      </c>
    </row>
    <row r="41" spans="1:12" x14ac:dyDescent="0.3">
      <c r="A41" s="11" t="s">
        <v>73</v>
      </c>
      <c r="B41" s="15"/>
      <c r="C41" s="22">
        <v>281.28654749999998</v>
      </c>
      <c r="D41" s="11">
        <v>25766360</v>
      </c>
      <c r="E41" s="11">
        <f t="shared" si="3"/>
        <v>25766.36</v>
      </c>
      <c r="F41" s="12">
        <f t="shared" si="4"/>
        <v>2626.5402650356777</v>
      </c>
      <c r="G41" s="17">
        <v>335.27461773700298</v>
      </c>
      <c r="I41" t="s">
        <v>74</v>
      </c>
      <c r="J41">
        <v>76.154658511722701</v>
      </c>
      <c r="K41" s="20" t="s">
        <v>75</v>
      </c>
      <c r="L41" s="20" t="s">
        <v>76</v>
      </c>
    </row>
    <row r="42" spans="1:12" x14ac:dyDescent="0.3">
      <c r="A42" s="11" t="s">
        <v>77</v>
      </c>
      <c r="B42" s="15"/>
      <c r="C42" s="22">
        <v>279.39573000000001</v>
      </c>
      <c r="D42" s="11">
        <v>21959550</v>
      </c>
      <c r="E42" s="11">
        <f t="shared" si="3"/>
        <v>21959.55</v>
      </c>
      <c r="F42" s="12">
        <f t="shared" si="4"/>
        <v>2238.4862385321098</v>
      </c>
      <c r="G42" s="17">
        <v>302.39459734964299</v>
      </c>
      <c r="I42" t="s">
        <v>78</v>
      </c>
      <c r="J42">
        <v>132.42324159021399</v>
      </c>
      <c r="K42" s="20" t="s">
        <v>79</v>
      </c>
      <c r="L42" s="20" t="s">
        <v>80</v>
      </c>
    </row>
    <row r="43" spans="1:12" x14ac:dyDescent="0.3">
      <c r="A43" s="11" t="s">
        <v>81</v>
      </c>
      <c r="B43" s="15"/>
      <c r="C43" s="22">
        <v>554.74004500000001</v>
      </c>
      <c r="D43" s="11">
        <v>26616648</v>
      </c>
      <c r="E43" s="11">
        <f t="shared" si="3"/>
        <v>26616.648000000001</v>
      </c>
      <c r="F43" s="12">
        <f t="shared" si="4"/>
        <v>2713.2159021406728</v>
      </c>
      <c r="G43" s="17">
        <v>563.30846075433203</v>
      </c>
      <c r="I43" t="s">
        <v>82</v>
      </c>
      <c r="J43">
        <v>675.96941896024498</v>
      </c>
      <c r="K43" s="20" t="s">
        <v>83</v>
      </c>
      <c r="L43" s="20" t="s">
        <v>84</v>
      </c>
    </row>
    <row r="44" spans="1:12" x14ac:dyDescent="0.3">
      <c r="A44" s="11" t="s">
        <v>85</v>
      </c>
      <c r="B44" s="15"/>
      <c r="C44" s="22">
        <v>558.20352000000003</v>
      </c>
      <c r="D44" s="11">
        <v>26584426</v>
      </c>
      <c r="E44" s="11">
        <f t="shared" si="3"/>
        <v>26584.425999999999</v>
      </c>
      <c r="F44" s="12">
        <f t="shared" si="4"/>
        <v>2709.9312945973493</v>
      </c>
      <c r="G44" s="17">
        <v>570.11314984709497</v>
      </c>
      <c r="I44" t="s">
        <v>86</v>
      </c>
      <c r="J44">
        <v>563.30846075433203</v>
      </c>
      <c r="K44" s="20" t="s">
        <v>87</v>
      </c>
      <c r="L44" s="20" t="s">
        <v>88</v>
      </c>
    </row>
    <row r="45" spans="1:12" x14ac:dyDescent="0.3">
      <c r="A45" s="11" t="s">
        <v>89</v>
      </c>
      <c r="B45" s="15"/>
      <c r="C45" s="22">
        <v>385.86124999999998</v>
      </c>
      <c r="D45" s="11">
        <v>15390296</v>
      </c>
      <c r="E45" s="11">
        <f t="shared" si="3"/>
        <v>15390.296</v>
      </c>
      <c r="F45" s="12">
        <f t="shared" si="4"/>
        <v>1568.8375127420998</v>
      </c>
      <c r="G45" s="17">
        <v>392.497247706422</v>
      </c>
      <c r="I45" t="s">
        <v>90</v>
      </c>
      <c r="J45">
        <v>570.11314984709497</v>
      </c>
      <c r="K45" s="20" t="s">
        <v>91</v>
      </c>
      <c r="L45" s="20" t="s">
        <v>92</v>
      </c>
    </row>
    <row r="46" spans="1:12" x14ac:dyDescent="0.3">
      <c r="A46" s="11" t="s">
        <v>93</v>
      </c>
      <c r="B46" s="15"/>
      <c r="C46" s="22">
        <v>385.62549999999999</v>
      </c>
      <c r="D46" s="11">
        <v>15380546</v>
      </c>
      <c r="E46" s="11">
        <f t="shared" si="3"/>
        <v>15380.546</v>
      </c>
      <c r="F46" s="12">
        <f t="shared" si="4"/>
        <v>1567.843628950051</v>
      </c>
      <c r="G46" s="17">
        <v>392.49582059123298</v>
      </c>
      <c r="I46" t="s">
        <v>94</v>
      </c>
      <c r="J46">
        <v>7845.7308868501495</v>
      </c>
      <c r="K46" s="20" t="s">
        <v>95</v>
      </c>
      <c r="L46" s="20">
        <v>1</v>
      </c>
    </row>
    <row r="47" spans="1:12" x14ac:dyDescent="0.3">
      <c r="A47" s="11" t="s">
        <v>96</v>
      </c>
      <c r="B47" s="15"/>
      <c r="C47" s="22">
        <v>1417.37</v>
      </c>
      <c r="D47" s="11">
        <v>56557332</v>
      </c>
      <c r="E47" s="11">
        <f t="shared" si="3"/>
        <v>56557.332000000002</v>
      </c>
      <c r="F47" s="12">
        <f t="shared" si="4"/>
        <v>5765.2733944954125</v>
      </c>
      <c r="G47" s="17">
        <v>1442.3781855249699</v>
      </c>
    </row>
    <row r="48" spans="1:12" x14ac:dyDescent="0.3">
      <c r="C48" s="5">
        <f>SUM(C19:C47)+SUM(C7:C10)</f>
        <v>27587.687312499998</v>
      </c>
      <c r="F48" s="5">
        <f>SUM(F19:F47)</f>
        <v>39805.771788990824</v>
      </c>
      <c r="G48" s="17">
        <f>SUM(G19:G47)</f>
        <v>13172.626253822626</v>
      </c>
    </row>
    <row r="50" spans="1:11" x14ac:dyDescent="0.3">
      <c r="A50" s="4" t="s">
        <v>97</v>
      </c>
      <c r="B50" s="4" t="s">
        <v>98</v>
      </c>
      <c r="C50" t="s">
        <v>99</v>
      </c>
      <c r="I50" s="23">
        <v>36263036</v>
      </c>
    </row>
    <row r="51" spans="1:11" x14ac:dyDescent="0.3">
      <c r="A51" s="4" t="s">
        <v>100</v>
      </c>
      <c r="B51" s="4" t="s">
        <v>98</v>
      </c>
      <c r="C51" t="s">
        <v>101</v>
      </c>
    </row>
    <row r="52" spans="1:11" x14ac:dyDescent="0.3">
      <c r="A52" s="4" t="s">
        <v>102</v>
      </c>
      <c r="B52" s="4" t="s">
        <v>98</v>
      </c>
      <c r="C52" t="s">
        <v>103</v>
      </c>
    </row>
    <row r="53" spans="1:11" x14ac:dyDescent="0.3">
      <c r="A53" s="4" t="s">
        <v>104</v>
      </c>
      <c r="B53" s="4" t="s">
        <v>98</v>
      </c>
      <c r="C53" t="s">
        <v>105</v>
      </c>
      <c r="G53" t="s">
        <v>106</v>
      </c>
    </row>
    <row r="54" spans="1:11" x14ac:dyDescent="0.3">
      <c r="A54" s="4" t="s">
        <v>107</v>
      </c>
      <c r="B54" s="4" t="s">
        <v>98</v>
      </c>
      <c r="C54" t="s">
        <v>108</v>
      </c>
    </row>
    <row r="55" spans="1:11" ht="17.25" x14ac:dyDescent="0.3">
      <c r="A55" s="4" t="s">
        <v>109</v>
      </c>
      <c r="B55" s="4" t="s">
        <v>98</v>
      </c>
      <c r="G55" s="24"/>
      <c r="K55" s="25" t="s">
        <v>110</v>
      </c>
    </row>
    <row r="56" spans="1:11" x14ac:dyDescent="0.3">
      <c r="A56" s="4" t="s">
        <v>111</v>
      </c>
      <c r="B56" s="4" t="s">
        <v>112</v>
      </c>
    </row>
    <row r="57" spans="1:11" x14ac:dyDescent="0.3">
      <c r="A57" s="4" t="s">
        <v>113</v>
      </c>
      <c r="B57" s="4" t="s">
        <v>112</v>
      </c>
    </row>
    <row r="58" spans="1:11" x14ac:dyDescent="0.3">
      <c r="A58" s="4" t="s">
        <v>114</v>
      </c>
      <c r="B58" s="4" t="s">
        <v>115</v>
      </c>
    </row>
    <row r="59" spans="1:11" x14ac:dyDescent="0.3">
      <c r="A59" s="4" t="s">
        <v>116</v>
      </c>
      <c r="B59" s="4" t="s">
        <v>115</v>
      </c>
    </row>
    <row r="60" spans="1:11" x14ac:dyDescent="0.3">
      <c r="A60" s="4" t="s">
        <v>117</v>
      </c>
      <c r="B60" s="4" t="s">
        <v>115</v>
      </c>
    </row>
    <row r="61" spans="1:11" x14ac:dyDescent="0.3">
      <c r="A61" s="4" t="s">
        <v>118</v>
      </c>
      <c r="B61" s="4" t="s">
        <v>115</v>
      </c>
    </row>
    <row r="62" spans="1:11" x14ac:dyDescent="0.3">
      <c r="A62" s="4" t="s">
        <v>119</v>
      </c>
      <c r="B62" s="4" t="s">
        <v>115</v>
      </c>
    </row>
    <row r="63" spans="1:11" x14ac:dyDescent="0.3">
      <c r="A63" s="4" t="s">
        <v>120</v>
      </c>
      <c r="B63" s="4" t="s">
        <v>115</v>
      </c>
    </row>
    <row r="64" spans="1:11" x14ac:dyDescent="0.3">
      <c r="A64" s="4" t="s">
        <v>121</v>
      </c>
      <c r="B64" s="4" t="s">
        <v>115</v>
      </c>
    </row>
    <row r="65" spans="1:11" x14ac:dyDescent="0.3">
      <c r="A65" s="4" t="s">
        <v>114</v>
      </c>
      <c r="B65" s="4" t="s">
        <v>115</v>
      </c>
      <c r="K65" t="str">
        <f t="shared" ref="K65:K88" si="5">"db_modify_lbc_name("""&amp;A66&amp;""","""&amp;C66&amp;""")"</f>
        <v>db_modify_lbc_name("FWT_TANK_PB","FWT_PB")</v>
      </c>
    </row>
    <row r="66" spans="1:11" x14ac:dyDescent="0.3">
      <c r="A66" s="4" t="s">
        <v>122</v>
      </c>
      <c r="B66" s="4" t="s">
        <v>115</v>
      </c>
      <c r="C66" t="s">
        <v>71</v>
      </c>
      <c r="D66">
        <v>6045682</v>
      </c>
      <c r="E66">
        <f>D66/9810</f>
        <v>616.27747196738028</v>
      </c>
      <c r="F66" s="26">
        <v>0.49</v>
      </c>
      <c r="G66">
        <f>E66*F66</f>
        <v>301.97596126401635</v>
      </c>
      <c r="K66" t="str">
        <f t="shared" si="5"/>
        <v>db_modify_lbc_name("FWT_TANK_PT","FWT_PT")</v>
      </c>
    </row>
    <row r="67" spans="1:11" x14ac:dyDescent="0.3">
      <c r="A67" s="4" t="s">
        <v>123</v>
      </c>
      <c r="B67" s="4" t="s">
        <v>115</v>
      </c>
      <c r="C67" t="s">
        <v>72</v>
      </c>
      <c r="K67" t="str">
        <f t="shared" si="5"/>
        <v>db_modify_lbc_name("FWT_TANK_SB","FWT_SB")</v>
      </c>
    </row>
    <row r="68" spans="1:11" x14ac:dyDescent="0.3">
      <c r="A68" s="4" t="s">
        <v>124</v>
      </c>
      <c r="B68" s="4" t="s">
        <v>115</v>
      </c>
      <c r="C68" t="s">
        <v>75</v>
      </c>
      <c r="D68">
        <v>4342538</v>
      </c>
      <c r="E68">
        <f>D68/9810</f>
        <v>442.6644240570846</v>
      </c>
      <c r="F68" s="26">
        <v>0.69</v>
      </c>
      <c r="G68">
        <f>E68*F68</f>
        <v>305.43845259938837</v>
      </c>
      <c r="K68" t="str">
        <f t="shared" si="5"/>
        <v>db_modify_lbc_name("FWT_TANK_ST","FWT_ST")</v>
      </c>
    </row>
    <row r="69" spans="1:11" x14ac:dyDescent="0.3">
      <c r="A69" s="4" t="s">
        <v>125</v>
      </c>
      <c r="B69" s="4" t="s">
        <v>115</v>
      </c>
      <c r="C69" t="s">
        <v>76</v>
      </c>
      <c r="K69" t="str">
        <f t="shared" si="5"/>
        <v>db_modify_lbc_name("HEELING_TK_PB","HEELTK_PB")</v>
      </c>
    </row>
    <row r="70" spans="1:11" x14ac:dyDescent="0.3">
      <c r="A70" s="4" t="s">
        <v>126</v>
      </c>
      <c r="B70" s="4" t="s">
        <v>115</v>
      </c>
      <c r="C70" t="s">
        <v>63</v>
      </c>
      <c r="D70">
        <v>25766360</v>
      </c>
      <c r="E70">
        <f>D70/9810</f>
        <v>2626.5402650356777</v>
      </c>
      <c r="F70" s="27">
        <v>0.51</v>
      </c>
      <c r="G70">
        <f>E70*F70</f>
        <v>1339.5355351681956</v>
      </c>
      <c r="K70" t="str">
        <f t="shared" si="5"/>
        <v>db_modify_lbc_name("HEELING_TK_PT","HEELTK_PT")</v>
      </c>
    </row>
    <row r="71" spans="1:11" x14ac:dyDescent="0.3">
      <c r="A71" s="4" t="s">
        <v>127</v>
      </c>
      <c r="B71" s="4" t="s">
        <v>115</v>
      </c>
      <c r="C71" t="s">
        <v>64</v>
      </c>
      <c r="K71" t="str">
        <f t="shared" si="5"/>
        <v>db_modify_lbc_name("HEELING_TK_SB","HEELTK_SB")</v>
      </c>
    </row>
    <row r="72" spans="1:11" x14ac:dyDescent="0.3">
      <c r="A72" s="4" t="s">
        <v>128</v>
      </c>
      <c r="B72" s="4" t="s">
        <v>115</v>
      </c>
      <c r="C72" t="s">
        <v>67</v>
      </c>
      <c r="D72">
        <v>21959550</v>
      </c>
      <c r="E72">
        <f>D72/9810</f>
        <v>2238.4862385321103</v>
      </c>
      <c r="F72" s="27">
        <v>0.54</v>
      </c>
      <c r="G72">
        <f>E72*F72</f>
        <v>1208.7825688073397</v>
      </c>
      <c r="K72" t="str">
        <f t="shared" si="5"/>
        <v>db_modify_lbc_name("HEELING_TK_ST","HEELTK_ST")</v>
      </c>
    </row>
    <row r="73" spans="1:11" x14ac:dyDescent="0.3">
      <c r="A73" s="4" t="s">
        <v>129</v>
      </c>
      <c r="B73" s="4" t="s">
        <v>115</v>
      </c>
      <c r="C73" t="s">
        <v>68</v>
      </c>
      <c r="K73" t="str">
        <f t="shared" si="5"/>
        <v>db_modify_lbc_name("DBWBT_NO1_PB","DBWBT1_PB")</v>
      </c>
    </row>
    <row r="74" spans="1:11" x14ac:dyDescent="0.3">
      <c r="A74" s="4" t="s">
        <v>130</v>
      </c>
      <c r="B74" s="4" t="s">
        <v>115</v>
      </c>
      <c r="C74" t="s">
        <v>35</v>
      </c>
      <c r="K74" t="str">
        <f t="shared" si="5"/>
        <v>db_modify_lbc_name("DBWBT_NO1_PT","DBWBT1_PT")</v>
      </c>
    </row>
    <row r="75" spans="1:11" x14ac:dyDescent="0.3">
      <c r="A75" s="4" t="s">
        <v>131</v>
      </c>
      <c r="B75" s="4" t="s">
        <v>115</v>
      </c>
      <c r="C75" t="s">
        <v>36</v>
      </c>
      <c r="K75" t="str">
        <f t="shared" si="5"/>
        <v>db_modify_lbc_name("DBWBT_NO1_SB","DBWBT1_SB")</v>
      </c>
    </row>
    <row r="76" spans="1:11" x14ac:dyDescent="0.3">
      <c r="A76" s="4" t="s">
        <v>132</v>
      </c>
      <c r="B76" s="4" t="s">
        <v>115</v>
      </c>
      <c r="C76" t="s">
        <v>39</v>
      </c>
      <c r="K76" t="str">
        <f t="shared" si="5"/>
        <v>db_modify_lbc_name("DBWBT_NO1_ST","DBWBT1_ST")</v>
      </c>
    </row>
    <row r="77" spans="1:11" x14ac:dyDescent="0.3">
      <c r="A77" s="4" t="s">
        <v>133</v>
      </c>
      <c r="B77" s="4" t="s">
        <v>115</v>
      </c>
      <c r="C77" t="s">
        <v>40</v>
      </c>
      <c r="K77" t="str">
        <f t="shared" si="5"/>
        <v>db_modify_lbc_name("WBT_NO1_CB","WBT1_CB")</v>
      </c>
    </row>
    <row r="78" spans="1:11" x14ac:dyDescent="0.3">
      <c r="A78" s="4" t="s">
        <v>134</v>
      </c>
      <c r="B78" s="4" t="s">
        <v>115</v>
      </c>
      <c r="C78" t="s">
        <v>79</v>
      </c>
      <c r="K78" t="str">
        <f t="shared" si="5"/>
        <v>db_modify_lbc_name("NO1_WBT_CT","WBT1_CT")</v>
      </c>
    </row>
    <row r="79" spans="1:11" x14ac:dyDescent="0.3">
      <c r="A79" s="4" t="s">
        <v>135</v>
      </c>
      <c r="B79" s="4" t="s">
        <v>115</v>
      </c>
      <c r="C79" t="s">
        <v>80</v>
      </c>
      <c r="K79" t="str">
        <f t="shared" si="5"/>
        <v>db_modify_lbc_name("NO2_DBWBT_CB","DBWBT2_CB")</v>
      </c>
    </row>
    <row r="80" spans="1:11" x14ac:dyDescent="0.3">
      <c r="A80" s="4" t="s">
        <v>136</v>
      </c>
      <c r="B80" s="4" t="s">
        <v>115</v>
      </c>
      <c r="C80" t="s">
        <v>43</v>
      </c>
      <c r="K80" t="str">
        <f t="shared" si="5"/>
        <v>db_modify_lbc_name("NO2_DBWBT_CT","DBWBT2_CT")</v>
      </c>
    </row>
    <row r="81" spans="1:11" x14ac:dyDescent="0.3">
      <c r="A81" s="4" t="s">
        <v>137</v>
      </c>
      <c r="B81" s="4" t="s">
        <v>115</v>
      </c>
      <c r="C81" t="s">
        <v>44</v>
      </c>
      <c r="K81" t="str">
        <f t="shared" si="5"/>
        <v>db_modify_lbc_name("FOT_NO1_PB","FOT1_PB")</v>
      </c>
    </row>
    <row r="82" spans="1:11" x14ac:dyDescent="0.3">
      <c r="A82" s="4" t="s">
        <v>138</v>
      </c>
      <c r="B82" s="4"/>
      <c r="C82" t="s">
        <v>47</v>
      </c>
      <c r="K82" t="str">
        <f t="shared" si="5"/>
        <v>db_modify_lbc_name("FOT_NO1_PT","FOT1_PT")</v>
      </c>
    </row>
    <row r="83" spans="1:11" x14ac:dyDescent="0.3">
      <c r="A83" s="4" t="s">
        <v>139</v>
      </c>
      <c r="B83" s="4"/>
      <c r="C83" t="s">
        <v>48</v>
      </c>
      <c r="K83" t="str">
        <f t="shared" si="5"/>
        <v>db_modify_lbc_name("FOT_NO1_SB","FOT1_SB")</v>
      </c>
    </row>
    <row r="84" spans="1:11" x14ac:dyDescent="0.3">
      <c r="A84" s="4" t="s">
        <v>140</v>
      </c>
      <c r="B84" s="4"/>
      <c r="C84" t="s">
        <v>51</v>
      </c>
      <c r="K84" t="str">
        <f t="shared" si="5"/>
        <v>db_modify_lbc_name("FOT_NO1_ST","FOT1_ST")</v>
      </c>
    </row>
    <row r="85" spans="1:11" x14ac:dyDescent="0.3">
      <c r="A85" s="4" t="s">
        <v>141</v>
      </c>
      <c r="B85" s="4"/>
      <c r="C85" t="s">
        <v>52</v>
      </c>
      <c r="K85" t="str">
        <f t="shared" si="5"/>
        <v>db_modify_lbc_name("NO2_FOT_PB","FOT2_PB")</v>
      </c>
    </row>
    <row r="86" spans="1:11" x14ac:dyDescent="0.3">
      <c r="A86" s="4" t="s">
        <v>142</v>
      </c>
      <c r="B86" s="4" t="s">
        <v>115</v>
      </c>
      <c r="C86" t="s">
        <v>55</v>
      </c>
      <c r="K86" t="str">
        <f t="shared" si="5"/>
        <v>db_modify_lbc_name("NO2_FOT_PT","FOT2_PT")</v>
      </c>
    </row>
    <row r="87" spans="1:11" x14ac:dyDescent="0.3">
      <c r="A87" s="4" t="s">
        <v>143</v>
      </c>
      <c r="B87" s="4" t="s">
        <v>115</v>
      </c>
      <c r="C87" t="s">
        <v>56</v>
      </c>
      <c r="K87" t="str">
        <f t="shared" si="5"/>
        <v>db_modify_lbc_name("NO2_FOT_SB","FOT2_SB")</v>
      </c>
    </row>
    <row r="88" spans="1:11" x14ac:dyDescent="0.3">
      <c r="A88" s="4" t="s">
        <v>144</v>
      </c>
      <c r="B88" s="4" t="s">
        <v>115</v>
      </c>
      <c r="C88" t="s">
        <v>59</v>
      </c>
      <c r="K88" t="str">
        <f t="shared" si="5"/>
        <v>db_modify_lbc_name("NO2_FOT_ST","FOT2_ST")</v>
      </c>
    </row>
    <row r="89" spans="1:11" x14ac:dyDescent="0.3">
      <c r="A89" s="4" t="s">
        <v>145</v>
      </c>
      <c r="B89" s="4" t="s">
        <v>115</v>
      </c>
      <c r="C89" t="s">
        <v>60</v>
      </c>
      <c r="K89" t="e">
        <f>"db_modify_lbc_name("""&amp;#REF!&amp;""","""&amp;#REF!&amp;""")"</f>
        <v>#REF!</v>
      </c>
    </row>
    <row r="90" spans="1:11" x14ac:dyDescent="0.3">
      <c r="A90" s="4" t="s">
        <v>146</v>
      </c>
      <c r="B90" s="4" t="s">
        <v>115</v>
      </c>
      <c r="C90" t="s">
        <v>83</v>
      </c>
      <c r="K90" t="str">
        <f>"db_modify_lbc_name("""&amp;A91&amp;""","""&amp;C91&amp;""")"</f>
        <v>db_modify_lbc_name("NO3_WBT_CT","WBT3_CT")</v>
      </c>
    </row>
    <row r="91" spans="1:11" x14ac:dyDescent="0.3">
      <c r="A91" s="4" t="s">
        <v>147</v>
      </c>
      <c r="B91" s="4" t="s">
        <v>115</v>
      </c>
      <c r="C91" t="s">
        <v>84</v>
      </c>
      <c r="K91" t="str">
        <f>"db_modify_lbc_name("""&amp;A92&amp;""","""&amp;C92&amp;""")"</f>
        <v>db_modify_lbc_name("NO5_WBT_PB","WBT5_PB")</v>
      </c>
    </row>
    <row r="92" spans="1:11" x14ac:dyDescent="0.3">
      <c r="A92" s="4" t="s">
        <v>148</v>
      </c>
      <c r="B92" s="4" t="s">
        <v>115</v>
      </c>
      <c r="C92" t="s">
        <v>87</v>
      </c>
      <c r="K92" t="str">
        <f>"db_modify_lbc_name("""&amp;A93&amp;""","""&amp;C93&amp;""")"</f>
        <v>db_modify_lbc_name("NO5_WBT_PT","WBT5_PT")</v>
      </c>
    </row>
    <row r="93" spans="1:11" x14ac:dyDescent="0.3">
      <c r="A93" s="4" t="s">
        <v>149</v>
      </c>
      <c r="B93" s="4" t="s">
        <v>115</v>
      </c>
      <c r="C93" t="s">
        <v>88</v>
      </c>
      <c r="K93" t="str">
        <f>"db_modify_lbc_name("""&amp;A94&amp;""","""&amp;C94&amp;""")"</f>
        <v>db_modify_lbc_name("NO5_WBT_SB","WBT5_SB")</v>
      </c>
    </row>
    <row r="94" spans="1:11" x14ac:dyDescent="0.3">
      <c r="A94" s="4" t="s">
        <v>150</v>
      </c>
      <c r="B94" s="4" t="s">
        <v>115</v>
      </c>
      <c r="C94" t="s">
        <v>91</v>
      </c>
      <c r="K94" t="str">
        <f>"db_modify_lbc_name("""&amp;A95&amp;""","""&amp;C95&amp;""")"</f>
        <v>db_modify_lbc_name("NO5_WBT_ST","WBT5_ST")</v>
      </c>
    </row>
    <row r="95" spans="1:11" x14ac:dyDescent="0.3">
      <c r="A95" s="4" t="s">
        <v>151</v>
      </c>
      <c r="B95" s="4" t="s">
        <v>115</v>
      </c>
      <c r="C95" t="s">
        <v>92</v>
      </c>
    </row>
    <row r="98" spans="1:11" x14ac:dyDescent="0.3">
      <c r="A98" s="4" t="s">
        <v>31</v>
      </c>
      <c r="B98" t="s">
        <v>152</v>
      </c>
      <c r="C98" s="23">
        <v>-217009.2</v>
      </c>
      <c r="D98" s="23">
        <v>-218.7234</v>
      </c>
      <c r="E98" s="23">
        <v>-252858600</v>
      </c>
      <c r="F98" s="23">
        <v>-8746740</v>
      </c>
      <c r="G98" s="23">
        <v>20335400000000</v>
      </c>
      <c r="H98" s="23">
        <v>-30626750</v>
      </c>
      <c r="K98" s="17">
        <f t="shared" ref="K98:K114" si="6">E98/9810</f>
        <v>-25775.596330275228</v>
      </c>
    </row>
    <row r="99" spans="1:11" x14ac:dyDescent="0.3">
      <c r="A99" s="4" t="s">
        <v>34</v>
      </c>
      <c r="B99" t="s">
        <v>152</v>
      </c>
      <c r="C99" s="23">
        <v>-0.10835649999999999</v>
      </c>
      <c r="D99" s="23">
        <v>-578592.19999999995</v>
      </c>
      <c r="E99" s="23">
        <v>3850398</v>
      </c>
      <c r="F99" s="23">
        <v>14593800000</v>
      </c>
      <c r="G99" s="23">
        <v>-396729500000</v>
      </c>
      <c r="H99" s="23">
        <v>-60162010000</v>
      </c>
      <c r="K99" s="17">
        <f t="shared" si="6"/>
        <v>392.497247706422</v>
      </c>
    </row>
    <row r="100" spans="1:11" x14ac:dyDescent="0.3">
      <c r="A100" s="4" t="s">
        <v>38</v>
      </c>
      <c r="B100" t="s">
        <v>152</v>
      </c>
      <c r="C100" s="23">
        <v>-0.1403787</v>
      </c>
      <c r="D100" s="23">
        <v>578592.1</v>
      </c>
      <c r="E100" s="23">
        <v>3850384</v>
      </c>
      <c r="F100" s="23">
        <v>-14593910000</v>
      </c>
      <c r="G100" s="23">
        <v>-396727400000</v>
      </c>
      <c r="H100" s="23">
        <v>60162010000</v>
      </c>
      <c r="K100" s="17">
        <f t="shared" si="6"/>
        <v>392.49582059123344</v>
      </c>
    </row>
    <row r="101" spans="1:11" x14ac:dyDescent="0.3">
      <c r="A101" s="4" t="s">
        <v>42</v>
      </c>
      <c r="B101" t="s">
        <v>152</v>
      </c>
      <c r="C101" s="23">
        <v>0.14829210000000001</v>
      </c>
      <c r="D101" s="23">
        <v>13933.92</v>
      </c>
      <c r="E101" s="23">
        <v>14149730</v>
      </c>
      <c r="F101" s="23">
        <v>-11913380</v>
      </c>
      <c r="G101" s="23">
        <v>-948618500000</v>
      </c>
      <c r="H101" s="23">
        <v>517606900</v>
      </c>
      <c r="K101" s="17">
        <f t="shared" si="6"/>
        <v>1442.3781855249745</v>
      </c>
    </row>
    <row r="102" spans="1:11" x14ac:dyDescent="0.3">
      <c r="A102" s="4" t="s">
        <v>46</v>
      </c>
      <c r="B102" t="s">
        <v>152</v>
      </c>
      <c r="C102" s="23">
        <v>-0.19876460000000001</v>
      </c>
      <c r="D102" s="23">
        <v>-3238866</v>
      </c>
      <c r="E102" s="23">
        <v>5738784</v>
      </c>
      <c r="F102" s="23">
        <v>29700960000</v>
      </c>
      <c r="G102" s="23">
        <v>-728457000000</v>
      </c>
      <c r="H102" s="23">
        <v>-416453400000</v>
      </c>
      <c r="K102" s="17">
        <f t="shared" si="6"/>
        <v>584.99327217125381</v>
      </c>
    </row>
    <row r="103" spans="1:11" x14ac:dyDescent="0.3">
      <c r="A103" s="4" t="s">
        <v>50</v>
      </c>
      <c r="B103" t="s">
        <v>152</v>
      </c>
      <c r="C103" s="23">
        <v>-0.19876099999999999</v>
      </c>
      <c r="D103" s="23">
        <v>3238866</v>
      </c>
      <c r="E103" s="23">
        <v>5738792</v>
      </c>
      <c r="F103" s="23">
        <v>-29700960000</v>
      </c>
      <c r="G103" s="23">
        <v>-728458100000</v>
      </c>
      <c r="H103" s="23">
        <v>416453400000</v>
      </c>
      <c r="K103" s="17">
        <f t="shared" si="6"/>
        <v>584.99408766564727</v>
      </c>
    </row>
    <row r="104" spans="1:11" x14ac:dyDescent="0.3">
      <c r="A104" s="4" t="s">
        <v>54</v>
      </c>
      <c r="B104" t="s">
        <v>152</v>
      </c>
      <c r="C104" s="23">
        <v>-1.4426190000000001E-6</v>
      </c>
      <c r="D104" s="23">
        <v>-1278389</v>
      </c>
      <c r="E104" s="23">
        <v>5432971</v>
      </c>
      <c r="F104" s="23">
        <v>20705420000</v>
      </c>
      <c r="G104" s="23">
        <v>-326693100000</v>
      </c>
      <c r="H104" s="23">
        <v>-74223240000</v>
      </c>
      <c r="K104" s="17">
        <f t="shared" si="6"/>
        <v>553.81967380224262</v>
      </c>
    </row>
    <row r="105" spans="1:11" x14ac:dyDescent="0.3">
      <c r="A105" s="4" t="s">
        <v>58</v>
      </c>
      <c r="B105" t="s">
        <v>152</v>
      </c>
      <c r="C105" s="23">
        <v>-1.8777790000000001E-7</v>
      </c>
      <c r="D105" s="23">
        <v>1278389</v>
      </c>
      <c r="E105" s="23">
        <v>5432971</v>
      </c>
      <c r="F105" s="23">
        <v>-20705420000</v>
      </c>
      <c r="G105" s="23">
        <v>-326693100000</v>
      </c>
      <c r="H105" s="23">
        <v>74223240000</v>
      </c>
      <c r="K105" s="17">
        <f t="shared" si="6"/>
        <v>553.81967380224262</v>
      </c>
    </row>
    <row r="106" spans="1:11" x14ac:dyDescent="0.3">
      <c r="A106" s="4" t="s">
        <v>62</v>
      </c>
      <c r="B106" t="s">
        <v>152</v>
      </c>
      <c r="C106" s="23">
        <v>-707203.6</v>
      </c>
      <c r="D106" s="23">
        <v>1225733</v>
      </c>
      <c r="E106" s="23">
        <v>3289044</v>
      </c>
      <c r="F106" s="23">
        <v>15848940000</v>
      </c>
      <c r="G106" s="23">
        <v>-285322000000</v>
      </c>
      <c r="H106" s="23">
        <v>96405630000</v>
      </c>
      <c r="K106" s="17">
        <f t="shared" si="6"/>
        <v>335.27461773700304</v>
      </c>
    </row>
    <row r="107" spans="1:11" x14ac:dyDescent="0.3">
      <c r="A107" s="4" t="s">
        <v>66</v>
      </c>
      <c r="B107" t="s">
        <v>152</v>
      </c>
      <c r="C107" s="23">
        <v>-1.4180980000000001</v>
      </c>
      <c r="D107" s="23">
        <v>743450.9</v>
      </c>
      <c r="E107" s="23">
        <v>2966491</v>
      </c>
      <c r="F107" s="23">
        <v>-38504620000</v>
      </c>
      <c r="G107" s="23">
        <v>-255274300000</v>
      </c>
      <c r="H107" s="23">
        <v>63892150000</v>
      </c>
      <c r="K107" s="17">
        <f t="shared" si="6"/>
        <v>302.39459734964322</v>
      </c>
    </row>
    <row r="108" spans="1:11" x14ac:dyDescent="0.3">
      <c r="A108" s="4" t="s">
        <v>70</v>
      </c>
      <c r="B108" t="s">
        <v>152</v>
      </c>
      <c r="C108" s="23">
        <v>-1.293095E-2</v>
      </c>
      <c r="D108" s="23">
        <v>5.8837279999999999E-2</v>
      </c>
      <c r="E108" s="23">
        <v>744258.1</v>
      </c>
      <c r="F108" s="23">
        <v>9023325000</v>
      </c>
      <c r="G108" s="23">
        <v>-37988470000</v>
      </c>
      <c r="H108" s="23">
        <v>2755.8890000000001</v>
      </c>
      <c r="K108" s="17">
        <f t="shared" si="6"/>
        <v>75.867288481141685</v>
      </c>
    </row>
    <row r="109" spans="1:11" x14ac:dyDescent="0.3">
      <c r="A109" s="4" t="s">
        <v>74</v>
      </c>
      <c r="B109" t="s">
        <v>152</v>
      </c>
      <c r="C109" s="23">
        <v>-4.8149709999999998E-2</v>
      </c>
      <c r="D109" s="23">
        <v>3.9777409999999999E-2</v>
      </c>
      <c r="E109" s="23">
        <v>747077.2</v>
      </c>
      <c r="F109" s="23">
        <v>-9251224000</v>
      </c>
      <c r="G109" s="23">
        <v>-39480370000</v>
      </c>
      <c r="H109" s="23">
        <v>1362.8579999999999</v>
      </c>
      <c r="K109" s="17">
        <f t="shared" si="6"/>
        <v>76.154658511722729</v>
      </c>
    </row>
    <row r="110" spans="1:11" x14ac:dyDescent="0.3">
      <c r="A110" s="4" t="s">
        <v>78</v>
      </c>
      <c r="B110" t="s">
        <v>152</v>
      </c>
      <c r="C110" s="23">
        <v>0.26384079999999999</v>
      </c>
      <c r="D110" s="23">
        <v>6.5279439999999999E-3</v>
      </c>
      <c r="E110" s="23">
        <v>1299072</v>
      </c>
      <c r="F110" s="23">
        <v>144476</v>
      </c>
      <c r="G110" s="23">
        <v>-194483600000</v>
      </c>
      <c r="H110" s="23">
        <v>906.09010000000001</v>
      </c>
      <c r="K110" s="17">
        <f t="shared" si="6"/>
        <v>132.42324159021408</v>
      </c>
    </row>
    <row r="111" spans="1:11" x14ac:dyDescent="0.3">
      <c r="A111" s="4" t="s">
        <v>82</v>
      </c>
      <c r="B111" t="s">
        <v>152</v>
      </c>
      <c r="C111" s="23">
        <v>0.17269080000000001</v>
      </c>
      <c r="D111" s="23">
        <v>-3.8636170000000002E-3</v>
      </c>
      <c r="E111" s="23">
        <v>6631260</v>
      </c>
      <c r="F111" s="23">
        <v>6659.1710000000003</v>
      </c>
      <c r="G111" s="23">
        <v>-808079400000</v>
      </c>
      <c r="H111" s="23">
        <v>1527.8389999999999</v>
      </c>
      <c r="K111" s="17">
        <f t="shared" si="6"/>
        <v>675.96941896024464</v>
      </c>
    </row>
    <row r="112" spans="1:11" x14ac:dyDescent="0.3">
      <c r="A112" s="4" t="s">
        <v>86</v>
      </c>
      <c r="B112" t="s">
        <v>152</v>
      </c>
      <c r="C112" s="23">
        <v>407634.6</v>
      </c>
      <c r="D112" s="23">
        <v>-4239400</v>
      </c>
      <c r="E112" s="23">
        <v>5526056</v>
      </c>
      <c r="F112" s="23">
        <v>63660080000</v>
      </c>
      <c r="G112" s="23">
        <v>-372619100000</v>
      </c>
      <c r="H112" s="23">
        <v>-290426400000</v>
      </c>
      <c r="K112" s="17">
        <f t="shared" si="6"/>
        <v>563.30846075433226</v>
      </c>
    </row>
    <row r="113" spans="1:11" x14ac:dyDescent="0.3">
      <c r="A113" s="4" t="s">
        <v>90</v>
      </c>
      <c r="B113" t="s">
        <v>152</v>
      </c>
      <c r="C113" s="23">
        <v>412545.9</v>
      </c>
      <c r="D113" s="23">
        <v>4290478</v>
      </c>
      <c r="E113" s="23">
        <v>5592810</v>
      </c>
      <c r="F113" s="23">
        <v>-64429210000</v>
      </c>
      <c r="G113" s="23">
        <v>-377121900000</v>
      </c>
      <c r="H113" s="23">
        <v>293925500000</v>
      </c>
      <c r="K113" s="17">
        <f t="shared" si="6"/>
        <v>570.11314984709475</v>
      </c>
    </row>
    <row r="114" spans="1:11" x14ac:dyDescent="0.3">
      <c r="A114" s="4" t="s">
        <v>94</v>
      </c>
      <c r="B114" t="s">
        <v>152</v>
      </c>
      <c r="C114" s="23">
        <v>-1.7581510000000002E-5</v>
      </c>
      <c r="D114" s="23">
        <v>-5.1088170000000001E-5</v>
      </c>
      <c r="E114" s="23">
        <v>76966620</v>
      </c>
      <c r="F114" s="23">
        <v>3716686000</v>
      </c>
      <c r="G114" s="23">
        <v>-6166288000000</v>
      </c>
      <c r="H114" s="23">
        <v>-0.88466480000000003</v>
      </c>
      <c r="K114" s="17">
        <f t="shared" si="6"/>
        <v>7845.7308868501532</v>
      </c>
    </row>
  </sheetData>
  <mergeCells count="1">
    <mergeCell ref="D2:F2"/>
  </mergeCells>
  <phoneticPr fontId="1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12"/>
  <sheetViews>
    <sheetView zoomScaleNormal="100" workbookViewId="0">
      <selection activeCell="V13" sqref="V13"/>
    </sheetView>
  </sheetViews>
  <sheetFormatPr defaultRowHeight="16.5" x14ac:dyDescent="0.3"/>
  <cols>
    <col min="1" max="6" width="8.625" customWidth="1"/>
    <col min="7" max="7" width="14.125" customWidth="1"/>
    <col min="8" max="1025" width="8.625" customWidth="1"/>
  </cols>
  <sheetData>
    <row r="1" spans="1:22" x14ac:dyDescent="0.3">
      <c r="A1" t="s">
        <v>397</v>
      </c>
    </row>
    <row r="3" spans="1:22" x14ac:dyDescent="0.3">
      <c r="A3" t="s">
        <v>398</v>
      </c>
    </row>
    <row r="4" spans="1:22" x14ac:dyDescent="0.3">
      <c r="A4" t="s">
        <v>399</v>
      </c>
      <c r="B4" s="4" t="s">
        <v>400</v>
      </c>
      <c r="C4" s="4" t="s">
        <v>401</v>
      </c>
      <c r="D4" t="s">
        <v>402</v>
      </c>
      <c r="E4" t="s">
        <v>403</v>
      </c>
      <c r="H4" s="51"/>
      <c r="I4" s="4"/>
      <c r="K4" s="4"/>
    </row>
    <row r="5" spans="1:22" x14ac:dyDescent="0.3">
      <c r="A5" s="4">
        <v>49</v>
      </c>
      <c r="B5" s="4">
        <v>4200</v>
      </c>
      <c r="C5" s="4">
        <v>-3800</v>
      </c>
      <c r="D5" s="4">
        <v>80000</v>
      </c>
      <c r="E5" s="4">
        <v>0</v>
      </c>
      <c r="G5" s="4"/>
      <c r="H5" s="4"/>
      <c r="I5" s="4"/>
      <c r="J5" s="51"/>
      <c r="K5" s="4"/>
    </row>
    <row r="6" spans="1:22" x14ac:dyDescent="0.3">
      <c r="A6" s="4">
        <v>73</v>
      </c>
      <c r="B6" s="4">
        <v>4300</v>
      </c>
      <c r="C6" s="4">
        <v>-4100</v>
      </c>
      <c r="D6" s="4">
        <v>163000</v>
      </c>
      <c r="E6" s="4">
        <v>21000</v>
      </c>
      <c r="G6" s="4"/>
      <c r="H6" s="4" t="s">
        <v>404</v>
      </c>
      <c r="I6" s="4" t="s">
        <v>260</v>
      </c>
      <c r="J6" s="4" t="s">
        <v>405</v>
      </c>
      <c r="K6" s="4" t="s">
        <v>263</v>
      </c>
      <c r="L6" s="4" t="s">
        <v>406</v>
      </c>
      <c r="M6" s="4" t="s">
        <v>407</v>
      </c>
      <c r="N6" s="4" t="s">
        <v>408</v>
      </c>
    </row>
    <row r="7" spans="1:22" x14ac:dyDescent="0.3">
      <c r="A7" s="4" t="s">
        <v>409</v>
      </c>
      <c r="B7" s="4">
        <v>4400</v>
      </c>
      <c r="C7" s="4">
        <v>-4400</v>
      </c>
      <c r="D7">
        <v>198000</v>
      </c>
      <c r="E7" s="4">
        <v>40000</v>
      </c>
      <c r="G7" s="51" t="s">
        <v>410</v>
      </c>
      <c r="H7" s="4">
        <v>7.09</v>
      </c>
      <c r="I7" s="4">
        <v>3.71</v>
      </c>
      <c r="J7" s="4">
        <v>12983</v>
      </c>
      <c r="K7" s="4">
        <v>6084</v>
      </c>
    </row>
    <row r="8" spans="1:22" x14ac:dyDescent="0.3">
      <c r="A8" s="4">
        <v>121</v>
      </c>
      <c r="B8" s="4">
        <v>4400</v>
      </c>
      <c r="C8" s="4">
        <v>-4400</v>
      </c>
      <c r="D8" s="4">
        <v>198000</v>
      </c>
      <c r="E8" s="4">
        <v>40000</v>
      </c>
      <c r="G8" s="51" t="s">
        <v>411</v>
      </c>
      <c r="H8" s="4">
        <v>8.7200000000000006</v>
      </c>
      <c r="I8" s="4">
        <v>1.48</v>
      </c>
      <c r="J8" s="4">
        <v>12983</v>
      </c>
      <c r="K8" s="4">
        <v>12806</v>
      </c>
      <c r="L8" s="4">
        <v>198000</v>
      </c>
      <c r="M8" s="4">
        <v>109</v>
      </c>
    </row>
    <row r="9" spans="1:22" x14ac:dyDescent="0.3">
      <c r="A9" s="4">
        <v>145</v>
      </c>
      <c r="B9" s="4">
        <v>3700</v>
      </c>
      <c r="C9" s="4">
        <v>-4000</v>
      </c>
      <c r="D9" s="4">
        <v>155000</v>
      </c>
      <c r="E9" s="4">
        <v>34000</v>
      </c>
      <c r="G9" s="4"/>
      <c r="H9" s="4"/>
      <c r="I9" s="4"/>
      <c r="J9" s="4"/>
      <c r="K9" s="4"/>
    </row>
    <row r="10" spans="1:22" x14ac:dyDescent="0.3">
      <c r="A10" s="4">
        <v>181</v>
      </c>
      <c r="B10" s="4">
        <v>3000</v>
      </c>
      <c r="C10" s="4">
        <v>-3400</v>
      </c>
      <c r="D10" s="4">
        <v>87000</v>
      </c>
      <c r="E10" s="4">
        <v>0</v>
      </c>
      <c r="G10" s="4"/>
      <c r="H10" s="4"/>
      <c r="I10" s="4"/>
      <c r="J10" s="4"/>
      <c r="K10" s="4"/>
    </row>
    <row r="11" spans="1:22" x14ac:dyDescent="0.3">
      <c r="A11" s="4">
        <v>199</v>
      </c>
      <c r="B11" s="4">
        <v>4200</v>
      </c>
      <c r="C11" s="4">
        <v>-4400</v>
      </c>
      <c r="D11" s="4">
        <v>87000</v>
      </c>
      <c r="E11" s="4">
        <v>0</v>
      </c>
      <c r="G11" s="4"/>
      <c r="H11" s="4"/>
      <c r="I11" s="4"/>
      <c r="J11" s="4"/>
      <c r="K11" s="4"/>
      <c r="V11">
        <f>31</f>
        <v>31</v>
      </c>
    </row>
    <row r="12" spans="1:22" x14ac:dyDescent="0.3">
      <c r="V12">
        <f>0.05*V11</f>
        <v>1.55</v>
      </c>
    </row>
  </sheetData>
  <phoneticPr fontId="1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H62"/>
  <sheetViews>
    <sheetView topLeftCell="A46" zoomScaleNormal="100" workbookViewId="0">
      <selection activeCell="D28" sqref="D28"/>
    </sheetView>
  </sheetViews>
  <sheetFormatPr defaultRowHeight="16.5" x14ac:dyDescent="0.3"/>
  <cols>
    <col min="1" max="1" width="8.625" customWidth="1"/>
    <col min="2" max="3" width="12.625" customWidth="1"/>
    <col min="4" max="7" width="12.625" style="4" customWidth="1"/>
    <col min="8" max="8" width="12.375" style="4" customWidth="1"/>
    <col min="9" max="10" width="8.625" customWidth="1"/>
    <col min="11" max="15" width="10.75" customWidth="1"/>
    <col min="16" max="1025" width="8.625" customWidth="1"/>
  </cols>
  <sheetData>
    <row r="1" spans="2:7" x14ac:dyDescent="0.3">
      <c r="B1" t="s">
        <v>412</v>
      </c>
    </row>
    <row r="2" spans="2:7" x14ac:dyDescent="0.3">
      <c r="B2" t="s">
        <v>301</v>
      </c>
    </row>
    <row r="3" spans="2:7" x14ac:dyDescent="0.3">
      <c r="B3" s="10" t="s">
        <v>237</v>
      </c>
      <c r="C3" s="10" t="s">
        <v>413</v>
      </c>
      <c r="D3" s="10" t="s">
        <v>414</v>
      </c>
      <c r="E3" s="10" t="s">
        <v>415</v>
      </c>
      <c r="F3" s="10" t="s">
        <v>416</v>
      </c>
      <c r="G3" s="10" t="s">
        <v>417</v>
      </c>
    </row>
    <row r="4" spans="2:7" x14ac:dyDescent="0.3">
      <c r="B4" s="10" t="s">
        <v>315</v>
      </c>
      <c r="C4" s="10">
        <v>62</v>
      </c>
      <c r="D4" s="10">
        <v>107</v>
      </c>
      <c r="E4" s="10">
        <v>107</v>
      </c>
      <c r="F4" s="10">
        <v>145</v>
      </c>
      <c r="G4" s="10">
        <f t="shared" ref="G4:G14" si="0">SUM(C4:F4)</f>
        <v>421</v>
      </c>
    </row>
    <row r="5" spans="2:7" x14ac:dyDescent="0.3">
      <c r="B5" s="10" t="s">
        <v>252</v>
      </c>
      <c r="C5" s="10">
        <v>62</v>
      </c>
      <c r="D5" s="10">
        <v>102</v>
      </c>
      <c r="E5" s="10">
        <v>94</v>
      </c>
      <c r="F5" s="10">
        <v>134</v>
      </c>
      <c r="G5" s="10">
        <f t="shared" si="0"/>
        <v>392</v>
      </c>
    </row>
    <row r="6" spans="2:7" x14ac:dyDescent="0.3">
      <c r="B6" s="10" t="s">
        <v>250</v>
      </c>
      <c r="C6" s="10">
        <v>141</v>
      </c>
      <c r="D6" s="10">
        <v>134</v>
      </c>
      <c r="E6" s="10">
        <v>128</v>
      </c>
      <c r="F6" s="10">
        <v>178</v>
      </c>
      <c r="G6" s="10">
        <f t="shared" si="0"/>
        <v>581</v>
      </c>
    </row>
    <row r="7" spans="2:7" x14ac:dyDescent="0.3">
      <c r="B7" s="10" t="s">
        <v>392</v>
      </c>
      <c r="C7" s="10">
        <v>126</v>
      </c>
      <c r="D7" s="10">
        <v>133</v>
      </c>
      <c r="E7" s="10">
        <v>128</v>
      </c>
      <c r="F7" s="10">
        <v>178</v>
      </c>
      <c r="G7" s="10">
        <f t="shared" si="0"/>
        <v>565</v>
      </c>
    </row>
    <row r="8" spans="2:7" x14ac:dyDescent="0.3">
      <c r="B8" s="10" t="s">
        <v>245</v>
      </c>
      <c r="C8" s="10">
        <v>92</v>
      </c>
      <c r="D8" s="10">
        <v>119</v>
      </c>
      <c r="E8" s="10">
        <v>126</v>
      </c>
      <c r="F8" s="10">
        <v>126</v>
      </c>
      <c r="G8" s="10">
        <f t="shared" si="0"/>
        <v>463</v>
      </c>
    </row>
    <row r="9" spans="2:7" x14ac:dyDescent="0.3">
      <c r="B9" s="10" t="s">
        <v>393</v>
      </c>
      <c r="C9" s="10">
        <v>133</v>
      </c>
      <c r="D9" s="10">
        <v>122</v>
      </c>
      <c r="E9" s="10">
        <v>124</v>
      </c>
      <c r="F9" s="10">
        <v>148</v>
      </c>
      <c r="G9" s="10">
        <f t="shared" si="0"/>
        <v>527</v>
      </c>
    </row>
    <row r="10" spans="2:7" x14ac:dyDescent="0.3">
      <c r="B10" s="10" t="s">
        <v>314</v>
      </c>
      <c r="C10" s="10">
        <v>120</v>
      </c>
      <c r="D10" s="10">
        <v>121</v>
      </c>
      <c r="E10" s="10">
        <v>126</v>
      </c>
      <c r="F10" s="10">
        <v>127</v>
      </c>
      <c r="G10" s="10">
        <f t="shared" si="0"/>
        <v>494</v>
      </c>
    </row>
    <row r="11" spans="2:7" x14ac:dyDescent="0.3">
      <c r="B11" s="10" t="s">
        <v>313</v>
      </c>
      <c r="C11" s="10"/>
      <c r="D11" s="10">
        <v>123</v>
      </c>
      <c r="E11" s="10">
        <v>128</v>
      </c>
      <c r="F11" s="10">
        <v>88</v>
      </c>
      <c r="G11" s="10">
        <f t="shared" si="0"/>
        <v>339</v>
      </c>
    </row>
    <row r="12" spans="2:7" x14ac:dyDescent="0.3">
      <c r="B12" s="10" t="s">
        <v>312</v>
      </c>
      <c r="C12" s="10"/>
      <c r="D12" s="10">
        <v>116</v>
      </c>
      <c r="E12" s="10">
        <v>119</v>
      </c>
      <c r="F12" s="10">
        <v>62</v>
      </c>
      <c r="G12" s="10">
        <f t="shared" si="0"/>
        <v>297</v>
      </c>
    </row>
    <row r="13" spans="2:7" x14ac:dyDescent="0.3">
      <c r="B13" s="10" t="s">
        <v>311</v>
      </c>
      <c r="C13" s="10"/>
      <c r="D13" s="10">
        <v>85</v>
      </c>
      <c r="E13" s="10">
        <v>90</v>
      </c>
      <c r="F13" s="10"/>
      <c r="G13" s="10">
        <f t="shared" si="0"/>
        <v>175</v>
      </c>
    </row>
    <row r="14" spans="2:7" x14ac:dyDescent="0.3">
      <c r="B14" s="10" t="s">
        <v>310</v>
      </c>
      <c r="C14" s="10"/>
      <c r="D14" s="10"/>
      <c r="E14" s="10">
        <v>64</v>
      </c>
      <c r="F14" s="10"/>
      <c r="G14" s="10">
        <f t="shared" si="0"/>
        <v>64</v>
      </c>
    </row>
    <row r="15" spans="2:7" x14ac:dyDescent="0.3">
      <c r="B15" s="10" t="s">
        <v>302</v>
      </c>
      <c r="C15" s="10">
        <f>SUM(C4:C14)</f>
        <v>736</v>
      </c>
      <c r="D15" s="10">
        <f>SUM(D4:D14)</f>
        <v>1162</v>
      </c>
      <c r="E15" s="10">
        <f>SUM(E4:E14)</f>
        <v>1234</v>
      </c>
      <c r="F15" s="10">
        <f>SUM(F4:F14)</f>
        <v>1186</v>
      </c>
      <c r="G15" s="10">
        <f>SUM(G4:G14)</f>
        <v>4318</v>
      </c>
    </row>
    <row r="17" spans="2:7" x14ac:dyDescent="0.3">
      <c r="B17" s="40" t="s">
        <v>418</v>
      </c>
    </row>
    <row r="18" spans="2:7" x14ac:dyDescent="0.3">
      <c r="B18" s="10" t="s">
        <v>237</v>
      </c>
      <c r="C18" s="10" t="s">
        <v>413</v>
      </c>
      <c r="D18" s="10" t="s">
        <v>414</v>
      </c>
      <c r="E18" s="10" t="s">
        <v>415</v>
      </c>
      <c r="F18" s="10" t="s">
        <v>416</v>
      </c>
      <c r="G18" s="10" t="s">
        <v>417</v>
      </c>
    </row>
    <row r="19" spans="2:7" x14ac:dyDescent="0.3">
      <c r="B19" s="10" t="s">
        <v>315</v>
      </c>
      <c r="C19" s="10">
        <v>99</v>
      </c>
      <c r="D19" s="10">
        <v>171</v>
      </c>
      <c r="E19" s="10">
        <v>171</v>
      </c>
      <c r="F19" s="10">
        <v>232</v>
      </c>
      <c r="G19" s="10">
        <f t="shared" ref="G19:G29" si="1">SUM(C19:F19)</f>
        <v>673</v>
      </c>
    </row>
    <row r="20" spans="2:7" x14ac:dyDescent="0.3">
      <c r="B20" s="10" t="s">
        <v>252</v>
      </c>
      <c r="C20" s="10">
        <v>99</v>
      </c>
      <c r="D20" s="10">
        <v>163</v>
      </c>
      <c r="E20" s="10">
        <v>150</v>
      </c>
      <c r="F20" s="10">
        <v>214</v>
      </c>
      <c r="G20" s="10">
        <f t="shared" si="1"/>
        <v>626</v>
      </c>
    </row>
    <row r="21" spans="2:7" x14ac:dyDescent="0.3">
      <c r="B21" s="10" t="s">
        <v>250</v>
      </c>
      <c r="C21" s="10">
        <v>226</v>
      </c>
      <c r="D21" s="10">
        <v>214</v>
      </c>
      <c r="E21" s="10">
        <v>205</v>
      </c>
      <c r="F21" s="10">
        <v>285</v>
      </c>
      <c r="G21" s="10">
        <f t="shared" si="1"/>
        <v>930</v>
      </c>
    </row>
    <row r="22" spans="2:7" x14ac:dyDescent="0.3">
      <c r="B22" s="10" t="s">
        <v>392</v>
      </c>
      <c r="C22" s="10">
        <v>202</v>
      </c>
      <c r="D22" s="10">
        <v>213</v>
      </c>
      <c r="E22" s="10">
        <v>210</v>
      </c>
      <c r="F22" s="10">
        <v>280</v>
      </c>
      <c r="G22" s="10">
        <f t="shared" si="1"/>
        <v>905</v>
      </c>
    </row>
    <row r="23" spans="2:7" x14ac:dyDescent="0.3">
      <c r="B23" s="10" t="s">
        <v>245</v>
      </c>
      <c r="C23" s="10">
        <v>147</v>
      </c>
      <c r="D23" s="10">
        <v>190</v>
      </c>
      <c r="E23" s="10">
        <v>202</v>
      </c>
      <c r="F23" s="10">
        <v>202</v>
      </c>
      <c r="G23" s="10">
        <f t="shared" si="1"/>
        <v>741</v>
      </c>
    </row>
    <row r="24" spans="2:7" x14ac:dyDescent="0.3">
      <c r="B24" s="10" t="s">
        <v>393</v>
      </c>
      <c r="C24" s="10">
        <v>213</v>
      </c>
      <c r="D24" s="10">
        <v>195</v>
      </c>
      <c r="E24" s="10">
        <v>198</v>
      </c>
      <c r="F24" s="10">
        <v>237</v>
      </c>
      <c r="G24" s="10">
        <f t="shared" si="1"/>
        <v>843</v>
      </c>
    </row>
    <row r="25" spans="2:7" x14ac:dyDescent="0.3">
      <c r="B25" s="10" t="s">
        <v>314</v>
      </c>
      <c r="C25" s="10">
        <v>192</v>
      </c>
      <c r="D25" s="10">
        <v>194</v>
      </c>
      <c r="E25" s="10">
        <v>202</v>
      </c>
      <c r="F25" s="10">
        <v>203</v>
      </c>
      <c r="G25" s="10">
        <f t="shared" si="1"/>
        <v>791</v>
      </c>
    </row>
    <row r="26" spans="2:7" x14ac:dyDescent="0.3">
      <c r="B26" s="10" t="s">
        <v>313</v>
      </c>
      <c r="C26" s="10"/>
      <c r="D26" s="10">
        <v>197</v>
      </c>
      <c r="E26" s="10">
        <v>205</v>
      </c>
      <c r="F26" s="10">
        <v>141</v>
      </c>
      <c r="G26" s="10">
        <f t="shared" si="1"/>
        <v>543</v>
      </c>
    </row>
    <row r="27" spans="2:7" x14ac:dyDescent="0.3">
      <c r="B27" s="10" t="s">
        <v>312</v>
      </c>
      <c r="C27" s="10"/>
      <c r="D27" s="10">
        <v>186</v>
      </c>
      <c r="E27" s="10">
        <v>190</v>
      </c>
      <c r="F27" s="10">
        <v>99</v>
      </c>
      <c r="G27" s="10">
        <f t="shared" si="1"/>
        <v>475</v>
      </c>
    </row>
    <row r="28" spans="2:7" x14ac:dyDescent="0.3">
      <c r="B28" s="10" t="s">
        <v>311</v>
      </c>
      <c r="C28" s="10"/>
      <c r="D28" s="10">
        <v>136</v>
      </c>
      <c r="E28" s="10">
        <v>144</v>
      </c>
      <c r="F28" s="10"/>
      <c r="G28" s="10">
        <f t="shared" si="1"/>
        <v>280</v>
      </c>
    </row>
    <row r="29" spans="2:7" x14ac:dyDescent="0.3">
      <c r="B29" s="10" t="s">
        <v>310</v>
      </c>
      <c r="C29" s="10"/>
      <c r="D29" s="10"/>
      <c r="E29" s="10">
        <v>102</v>
      </c>
      <c r="F29" s="10"/>
      <c r="G29" s="10">
        <f t="shared" si="1"/>
        <v>102</v>
      </c>
    </row>
    <row r="30" spans="2:7" x14ac:dyDescent="0.3">
      <c r="B30" s="32" t="s">
        <v>255</v>
      </c>
      <c r="C30" s="10">
        <f>SUM(C19:C29)</f>
        <v>1178</v>
      </c>
      <c r="D30" s="10">
        <f>SUM(D19:D29)</f>
        <v>1859</v>
      </c>
      <c r="E30" s="10">
        <f>SUM(E19:E29)</f>
        <v>1979</v>
      </c>
      <c r="F30" s="10">
        <f>SUM(F19:F29)</f>
        <v>1893</v>
      </c>
      <c r="G30" s="10">
        <f>SUM(G19:G29)</f>
        <v>6909</v>
      </c>
    </row>
    <row r="33" spans="2:7" x14ac:dyDescent="0.3">
      <c r="B33" t="s">
        <v>419</v>
      </c>
    </row>
    <row r="34" spans="2:7" x14ac:dyDescent="0.3">
      <c r="B34" t="s">
        <v>301</v>
      </c>
    </row>
    <row r="35" spans="2:7" x14ac:dyDescent="0.3">
      <c r="B35" s="10" t="s">
        <v>237</v>
      </c>
      <c r="C35" s="10" t="s">
        <v>413</v>
      </c>
      <c r="D35" s="10" t="s">
        <v>414</v>
      </c>
      <c r="E35" s="10" t="s">
        <v>415</v>
      </c>
      <c r="F35" s="10" t="s">
        <v>416</v>
      </c>
      <c r="G35" s="10" t="s">
        <v>417</v>
      </c>
    </row>
    <row r="36" spans="2:7" x14ac:dyDescent="0.3">
      <c r="B36" s="10" t="s">
        <v>315</v>
      </c>
      <c r="C36" s="10">
        <v>55</v>
      </c>
      <c r="D36" s="10">
        <v>96</v>
      </c>
      <c r="E36" s="10">
        <v>99</v>
      </c>
      <c r="F36" s="10">
        <v>125</v>
      </c>
      <c r="G36" s="10">
        <f t="shared" ref="G36:G46" si="2">SUM(C36:F36)</f>
        <v>375</v>
      </c>
    </row>
    <row r="37" spans="2:7" x14ac:dyDescent="0.3">
      <c r="B37" s="10" t="s">
        <v>252</v>
      </c>
      <c r="C37" s="10">
        <v>52</v>
      </c>
      <c r="D37" s="10">
        <v>86</v>
      </c>
      <c r="E37" s="10">
        <v>92</v>
      </c>
      <c r="F37" s="10">
        <v>121</v>
      </c>
      <c r="G37" s="10">
        <f t="shared" si="2"/>
        <v>351</v>
      </c>
    </row>
    <row r="38" spans="2:7" x14ac:dyDescent="0.3">
      <c r="B38" s="10" t="s">
        <v>250</v>
      </c>
      <c r="C38" s="10">
        <v>123</v>
      </c>
      <c r="D38" s="10">
        <v>130</v>
      </c>
      <c r="E38" s="10">
        <v>115</v>
      </c>
      <c r="F38" s="10">
        <v>168</v>
      </c>
      <c r="G38" s="10">
        <f t="shared" si="2"/>
        <v>536</v>
      </c>
    </row>
    <row r="39" spans="2:7" x14ac:dyDescent="0.3">
      <c r="B39" s="10" t="s">
        <v>392</v>
      </c>
      <c r="C39" s="10">
        <v>129</v>
      </c>
      <c r="D39" s="10">
        <v>122</v>
      </c>
      <c r="E39" s="10">
        <v>120</v>
      </c>
      <c r="F39" s="10">
        <v>166</v>
      </c>
      <c r="G39" s="10">
        <f t="shared" si="2"/>
        <v>537</v>
      </c>
    </row>
    <row r="40" spans="2:7" x14ac:dyDescent="0.3">
      <c r="B40" s="10" t="s">
        <v>245</v>
      </c>
      <c r="C40" s="10">
        <v>85</v>
      </c>
      <c r="D40" s="10">
        <v>105</v>
      </c>
      <c r="E40" s="10">
        <v>101</v>
      </c>
      <c r="F40" s="10">
        <v>129</v>
      </c>
      <c r="G40" s="10">
        <f t="shared" si="2"/>
        <v>420</v>
      </c>
    </row>
    <row r="41" spans="2:7" x14ac:dyDescent="0.3">
      <c r="B41" s="10" t="s">
        <v>393</v>
      </c>
      <c r="C41" s="10">
        <v>126</v>
      </c>
      <c r="D41" s="10">
        <v>114</v>
      </c>
      <c r="E41" s="10">
        <v>112</v>
      </c>
      <c r="F41" s="10">
        <v>133</v>
      </c>
      <c r="G41" s="10">
        <f t="shared" si="2"/>
        <v>485</v>
      </c>
    </row>
    <row r="42" spans="2:7" x14ac:dyDescent="0.3">
      <c r="B42" s="10" t="s">
        <v>314</v>
      </c>
      <c r="C42" s="10">
        <v>117</v>
      </c>
      <c r="D42" s="10">
        <v>112</v>
      </c>
      <c r="E42" s="10">
        <v>121</v>
      </c>
      <c r="F42" s="10">
        <v>110</v>
      </c>
      <c r="G42" s="10">
        <f t="shared" si="2"/>
        <v>460</v>
      </c>
    </row>
    <row r="43" spans="2:7" x14ac:dyDescent="0.3">
      <c r="B43" s="10" t="s">
        <v>313</v>
      </c>
      <c r="C43" s="10"/>
      <c r="D43" s="10">
        <v>113</v>
      </c>
      <c r="E43" s="10">
        <v>123</v>
      </c>
      <c r="F43" s="10">
        <v>81</v>
      </c>
      <c r="G43" s="10">
        <f t="shared" si="2"/>
        <v>317</v>
      </c>
    </row>
    <row r="44" spans="2:7" x14ac:dyDescent="0.3">
      <c r="B44" s="10" t="s">
        <v>312</v>
      </c>
      <c r="C44" s="10"/>
      <c r="D44" s="10">
        <v>113</v>
      </c>
      <c r="E44" s="10">
        <v>122</v>
      </c>
      <c r="F44" s="10">
        <v>55</v>
      </c>
      <c r="G44" s="10">
        <f t="shared" si="2"/>
        <v>290</v>
      </c>
    </row>
    <row r="45" spans="2:7" x14ac:dyDescent="0.3">
      <c r="B45" s="10" t="s">
        <v>311</v>
      </c>
      <c r="C45" s="10"/>
      <c r="D45" s="10">
        <v>82</v>
      </c>
      <c r="E45" s="10">
        <v>89</v>
      </c>
      <c r="F45" s="10"/>
      <c r="G45" s="10">
        <f t="shared" si="2"/>
        <v>171</v>
      </c>
    </row>
    <row r="46" spans="2:7" x14ac:dyDescent="0.3">
      <c r="B46" s="10" t="s">
        <v>310</v>
      </c>
      <c r="C46" s="10"/>
      <c r="D46" s="10"/>
      <c r="E46" s="10">
        <v>60</v>
      </c>
      <c r="F46" s="10"/>
      <c r="G46" s="10">
        <f t="shared" si="2"/>
        <v>60</v>
      </c>
    </row>
    <row r="47" spans="2:7" x14ac:dyDescent="0.3">
      <c r="B47" s="10" t="s">
        <v>302</v>
      </c>
      <c r="C47" s="10">
        <f>SUM(C36:C46)</f>
        <v>687</v>
      </c>
      <c r="D47" s="10">
        <f>SUM(D36:D46)</f>
        <v>1073</v>
      </c>
      <c r="E47" s="10">
        <f>SUM(E36:E46)</f>
        <v>1154</v>
      </c>
      <c r="F47" s="10">
        <f>SUM(F36:F46)</f>
        <v>1088</v>
      </c>
      <c r="G47" s="10">
        <f>SUM(G36:G46)</f>
        <v>4002</v>
      </c>
    </row>
    <row r="49" spans="2:7" x14ac:dyDescent="0.3">
      <c r="B49" s="40" t="s">
        <v>418</v>
      </c>
    </row>
    <row r="50" spans="2:7" x14ac:dyDescent="0.3">
      <c r="B50" s="10" t="s">
        <v>237</v>
      </c>
      <c r="C50" s="10" t="s">
        <v>413</v>
      </c>
      <c r="D50" s="10" t="s">
        <v>414</v>
      </c>
      <c r="E50" s="10" t="s">
        <v>415</v>
      </c>
      <c r="F50" s="10" t="s">
        <v>416</v>
      </c>
      <c r="G50" s="10" t="s">
        <v>417</v>
      </c>
    </row>
    <row r="51" spans="2:7" x14ac:dyDescent="0.3">
      <c r="B51" s="10" t="s">
        <v>315</v>
      </c>
      <c r="C51" s="10">
        <v>85</v>
      </c>
      <c r="D51" s="10">
        <v>148</v>
      </c>
      <c r="E51" s="10">
        <v>152</v>
      </c>
      <c r="F51" s="10">
        <v>192</v>
      </c>
      <c r="G51" s="10">
        <f t="shared" ref="G51:G61" si="3">SUM(C51:F51)</f>
        <v>577</v>
      </c>
    </row>
    <row r="52" spans="2:7" x14ac:dyDescent="0.3">
      <c r="B52" s="10" t="s">
        <v>252</v>
      </c>
      <c r="C52" s="10">
        <v>80</v>
      </c>
      <c r="D52" s="10">
        <v>132</v>
      </c>
      <c r="E52" s="10">
        <v>142</v>
      </c>
      <c r="F52" s="10">
        <v>186</v>
      </c>
      <c r="G52" s="10">
        <f t="shared" si="3"/>
        <v>540</v>
      </c>
    </row>
    <row r="53" spans="2:7" x14ac:dyDescent="0.3">
      <c r="B53" s="10" t="s">
        <v>250</v>
      </c>
      <c r="C53" s="10">
        <v>189</v>
      </c>
      <c r="D53" s="10">
        <v>200</v>
      </c>
      <c r="E53" s="10">
        <v>177</v>
      </c>
      <c r="F53" s="10">
        <v>259</v>
      </c>
      <c r="G53" s="10">
        <f t="shared" si="3"/>
        <v>825</v>
      </c>
    </row>
    <row r="54" spans="2:7" x14ac:dyDescent="0.3">
      <c r="B54" s="10" t="s">
        <v>392</v>
      </c>
      <c r="C54" s="10">
        <v>199</v>
      </c>
      <c r="D54" s="10">
        <v>188</v>
      </c>
      <c r="E54" s="10">
        <v>185</v>
      </c>
      <c r="F54" s="10">
        <v>256</v>
      </c>
      <c r="G54" s="10">
        <f t="shared" si="3"/>
        <v>828</v>
      </c>
    </row>
    <row r="55" spans="2:7" x14ac:dyDescent="0.3">
      <c r="B55" s="10" t="s">
        <v>245</v>
      </c>
      <c r="C55" s="10">
        <v>131</v>
      </c>
      <c r="D55" s="10">
        <v>162</v>
      </c>
      <c r="E55" s="10">
        <v>156</v>
      </c>
      <c r="F55" s="10">
        <v>199</v>
      </c>
      <c r="G55" s="10">
        <f t="shared" si="3"/>
        <v>648</v>
      </c>
    </row>
    <row r="56" spans="2:7" x14ac:dyDescent="0.3">
      <c r="B56" s="10" t="s">
        <v>393</v>
      </c>
      <c r="C56" s="10">
        <v>194</v>
      </c>
      <c r="D56" s="10">
        <v>176</v>
      </c>
      <c r="E56" s="10">
        <v>172</v>
      </c>
      <c r="F56" s="10">
        <v>205</v>
      </c>
      <c r="G56" s="10">
        <f t="shared" si="3"/>
        <v>747</v>
      </c>
    </row>
    <row r="57" spans="2:7" x14ac:dyDescent="0.3">
      <c r="B57" s="10" t="s">
        <v>314</v>
      </c>
      <c r="C57" s="10">
        <v>180</v>
      </c>
      <c r="D57" s="10">
        <v>172</v>
      </c>
      <c r="E57" s="10">
        <v>186</v>
      </c>
      <c r="F57" s="10">
        <v>169</v>
      </c>
      <c r="G57" s="10">
        <f t="shared" si="3"/>
        <v>707</v>
      </c>
    </row>
    <row r="58" spans="2:7" x14ac:dyDescent="0.3">
      <c r="B58" s="10" t="s">
        <v>313</v>
      </c>
      <c r="C58" s="10"/>
      <c r="D58" s="10">
        <v>174</v>
      </c>
      <c r="E58" s="10">
        <v>189</v>
      </c>
      <c r="F58" s="10">
        <v>125</v>
      </c>
      <c r="G58" s="10">
        <f t="shared" si="3"/>
        <v>488</v>
      </c>
    </row>
    <row r="59" spans="2:7" x14ac:dyDescent="0.3">
      <c r="B59" s="10" t="s">
        <v>312</v>
      </c>
      <c r="C59" s="10"/>
      <c r="D59" s="10">
        <v>174</v>
      </c>
      <c r="E59" s="10">
        <v>188</v>
      </c>
      <c r="F59" s="10">
        <v>85</v>
      </c>
      <c r="G59" s="10">
        <f t="shared" si="3"/>
        <v>447</v>
      </c>
    </row>
    <row r="60" spans="2:7" x14ac:dyDescent="0.3">
      <c r="B60" s="10" t="s">
        <v>311</v>
      </c>
      <c r="C60" s="10"/>
      <c r="D60" s="10">
        <v>126</v>
      </c>
      <c r="E60" s="10">
        <v>137</v>
      </c>
      <c r="F60" s="10"/>
      <c r="G60" s="10">
        <f t="shared" si="3"/>
        <v>263</v>
      </c>
    </row>
    <row r="61" spans="2:7" x14ac:dyDescent="0.3">
      <c r="B61" s="10" t="s">
        <v>310</v>
      </c>
      <c r="C61" s="10"/>
      <c r="D61" s="10"/>
      <c r="E61" s="10">
        <v>92</v>
      </c>
      <c r="F61" s="10"/>
      <c r="G61" s="10">
        <f t="shared" si="3"/>
        <v>92</v>
      </c>
    </row>
    <row r="62" spans="2:7" x14ac:dyDescent="0.3">
      <c r="B62" s="32" t="s">
        <v>255</v>
      </c>
      <c r="C62" s="10">
        <f>SUM(C51:C61)</f>
        <v>1058</v>
      </c>
      <c r="D62" s="10">
        <f>SUM(D51:D61)</f>
        <v>1652</v>
      </c>
      <c r="E62" s="10">
        <f>SUM(E51:E61)</f>
        <v>1776</v>
      </c>
      <c r="F62" s="10">
        <f>SUM(F51:F61)</f>
        <v>1676</v>
      </c>
      <c r="G62" s="10">
        <f>SUM(G51:G61)</f>
        <v>6162</v>
      </c>
    </row>
  </sheetData>
  <phoneticPr fontId="1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74"/>
  <sheetViews>
    <sheetView topLeftCell="A52" zoomScaleNormal="100" workbookViewId="0">
      <selection activeCell="O67" sqref="O67"/>
    </sheetView>
  </sheetViews>
  <sheetFormatPr defaultRowHeight="16.5" x14ac:dyDescent="0.3"/>
  <cols>
    <col min="1" max="1025" width="8.625" customWidth="1"/>
  </cols>
  <sheetData>
    <row r="1" spans="1:17" x14ac:dyDescent="0.3">
      <c r="A1" t="s">
        <v>420</v>
      </c>
      <c r="B1">
        <v>4</v>
      </c>
      <c r="C1">
        <v>94710</v>
      </c>
      <c r="D1">
        <v>98579</v>
      </c>
      <c r="E1">
        <v>100188</v>
      </c>
      <c r="F1">
        <v>106081</v>
      </c>
      <c r="J1" t="s">
        <v>165</v>
      </c>
      <c r="K1" t="s">
        <v>166</v>
      </c>
      <c r="O1" t="s">
        <v>165</v>
      </c>
      <c r="P1" t="s">
        <v>166</v>
      </c>
    </row>
    <row r="2" spans="1:17" x14ac:dyDescent="0.3">
      <c r="A2" t="s">
        <v>421</v>
      </c>
      <c r="B2">
        <v>4</v>
      </c>
      <c r="C2">
        <v>91266</v>
      </c>
      <c r="D2">
        <v>94710</v>
      </c>
      <c r="E2">
        <v>106081</v>
      </c>
      <c r="F2">
        <v>106054</v>
      </c>
      <c r="J2">
        <v>5325</v>
      </c>
      <c r="K2">
        <v>125409.70709425599</v>
      </c>
      <c r="L2">
        <v>125409.70709425599</v>
      </c>
      <c r="O2">
        <v>5325</v>
      </c>
      <c r="P2" s="7">
        <v>119781.19178226699</v>
      </c>
      <c r="Q2" s="7">
        <v>119781.19178226699</v>
      </c>
    </row>
    <row r="3" spans="1:17" x14ac:dyDescent="0.3">
      <c r="A3" t="s">
        <v>422</v>
      </c>
      <c r="B3">
        <v>4</v>
      </c>
      <c r="C3">
        <v>84767</v>
      </c>
      <c r="D3">
        <v>91266</v>
      </c>
      <c r="E3">
        <v>106054</v>
      </c>
      <c r="F3">
        <v>106055</v>
      </c>
      <c r="J3">
        <v>5880</v>
      </c>
      <c r="K3">
        <v>125409.70709425599</v>
      </c>
      <c r="L3">
        <v>125409.70709425599</v>
      </c>
      <c r="O3">
        <v>8863</v>
      </c>
      <c r="P3" s="7">
        <v>119781.19178226699</v>
      </c>
      <c r="Q3" s="7">
        <v>119781.19178226699</v>
      </c>
    </row>
    <row r="4" spans="1:17" x14ac:dyDescent="0.3">
      <c r="A4" t="s">
        <v>423</v>
      </c>
      <c r="B4">
        <v>4</v>
      </c>
      <c r="C4">
        <v>75772</v>
      </c>
      <c r="D4">
        <v>84767</v>
      </c>
      <c r="E4">
        <v>106055</v>
      </c>
      <c r="F4">
        <v>106056</v>
      </c>
      <c r="J4">
        <v>14339</v>
      </c>
      <c r="K4">
        <v>125409.70709425599</v>
      </c>
      <c r="L4">
        <v>125409.70709425599</v>
      </c>
      <c r="O4">
        <v>16550</v>
      </c>
      <c r="P4" s="7">
        <v>119781.19178226699</v>
      </c>
      <c r="Q4" s="7">
        <v>119781.19178226699</v>
      </c>
    </row>
    <row r="5" spans="1:17" x14ac:dyDescent="0.3">
      <c r="A5" t="s">
        <v>424</v>
      </c>
      <c r="B5">
        <v>4</v>
      </c>
      <c r="C5">
        <v>69565</v>
      </c>
      <c r="D5">
        <v>75772</v>
      </c>
      <c r="E5">
        <v>106056</v>
      </c>
      <c r="F5">
        <v>106057</v>
      </c>
      <c r="J5">
        <v>18148</v>
      </c>
      <c r="K5">
        <v>125409.70709425599</v>
      </c>
      <c r="L5">
        <v>125409.70709425599</v>
      </c>
      <c r="O5">
        <v>20174</v>
      </c>
      <c r="P5" s="7">
        <v>119781.19178226699</v>
      </c>
      <c r="Q5" s="7">
        <v>284497.90377920802</v>
      </c>
    </row>
    <row r="6" spans="1:17" x14ac:dyDescent="0.3">
      <c r="A6" t="s">
        <v>425</v>
      </c>
      <c r="B6">
        <v>4</v>
      </c>
      <c r="C6">
        <v>61494</v>
      </c>
      <c r="D6">
        <v>69565</v>
      </c>
      <c r="E6">
        <v>106057</v>
      </c>
      <c r="F6">
        <v>106051</v>
      </c>
      <c r="J6">
        <v>19032</v>
      </c>
      <c r="K6">
        <v>104415.593037607</v>
      </c>
      <c r="L6">
        <v>104415.593037607</v>
      </c>
      <c r="O6">
        <v>27373</v>
      </c>
      <c r="P6" s="7">
        <v>164716.71199694101</v>
      </c>
      <c r="Q6" s="7">
        <v>164716.71199694101</v>
      </c>
    </row>
    <row r="7" spans="1:17" x14ac:dyDescent="0.3">
      <c r="A7" t="s">
        <v>426</v>
      </c>
      <c r="B7">
        <v>4</v>
      </c>
      <c r="C7">
        <v>53286</v>
      </c>
      <c r="D7">
        <v>61494</v>
      </c>
      <c r="E7">
        <v>106051</v>
      </c>
      <c r="F7">
        <v>106052</v>
      </c>
      <c r="J7">
        <v>20255</v>
      </c>
      <c r="K7">
        <v>104415.593037607</v>
      </c>
      <c r="L7">
        <v>104415.593037607</v>
      </c>
      <c r="O7">
        <v>28674</v>
      </c>
      <c r="P7" s="7">
        <v>164716.71199694101</v>
      </c>
      <c r="Q7" s="7">
        <v>146267.98480932499</v>
      </c>
    </row>
    <row r="8" spans="1:17" x14ac:dyDescent="0.3">
      <c r="A8" t="s">
        <v>427</v>
      </c>
      <c r="B8">
        <v>4</v>
      </c>
      <c r="C8">
        <v>47105</v>
      </c>
      <c r="D8">
        <v>53286</v>
      </c>
      <c r="E8">
        <v>106052</v>
      </c>
      <c r="F8">
        <v>106088</v>
      </c>
      <c r="J8">
        <v>28136</v>
      </c>
      <c r="K8">
        <v>127574.00762171</v>
      </c>
      <c r="L8">
        <v>231989.60065931699</v>
      </c>
      <c r="O8">
        <v>37097</v>
      </c>
      <c r="P8" s="7">
        <v>146267.98480932499</v>
      </c>
      <c r="Q8" s="7">
        <v>293277.217337412</v>
      </c>
    </row>
    <row r="9" spans="1:17" x14ac:dyDescent="0.3">
      <c r="A9" t="s">
        <v>428</v>
      </c>
      <c r="B9">
        <v>4</v>
      </c>
      <c r="C9">
        <v>38849</v>
      </c>
      <c r="D9">
        <v>47105</v>
      </c>
      <c r="E9">
        <v>106083</v>
      </c>
      <c r="F9">
        <v>106082</v>
      </c>
      <c r="J9">
        <v>38849</v>
      </c>
      <c r="K9">
        <v>104415.593037607</v>
      </c>
      <c r="L9">
        <v>235067.12530987899</v>
      </c>
      <c r="O9">
        <v>45234</v>
      </c>
      <c r="P9" s="7">
        <v>147009.23252808701</v>
      </c>
      <c r="Q9" s="7">
        <v>290551.44837544201</v>
      </c>
    </row>
    <row r="10" spans="1:17" x14ac:dyDescent="0.3">
      <c r="A10" t="s">
        <v>429</v>
      </c>
      <c r="B10">
        <v>4</v>
      </c>
      <c r="C10">
        <v>106084</v>
      </c>
      <c r="D10">
        <v>28136</v>
      </c>
      <c r="E10">
        <v>38849</v>
      </c>
      <c r="F10">
        <v>106082</v>
      </c>
      <c r="J10">
        <v>47105</v>
      </c>
      <c r="K10">
        <v>107493.117688169</v>
      </c>
      <c r="L10">
        <v>229508.478888654</v>
      </c>
      <c r="O10">
        <v>53005</v>
      </c>
      <c r="P10" s="7">
        <v>146267.98480932499</v>
      </c>
      <c r="Q10" s="7">
        <v>265878.90253969101</v>
      </c>
    </row>
    <row r="11" spans="1:17" x14ac:dyDescent="0.3">
      <c r="A11" t="s">
        <v>430</v>
      </c>
      <c r="B11">
        <v>5</v>
      </c>
      <c r="C11">
        <v>106085</v>
      </c>
      <c r="D11">
        <v>106084</v>
      </c>
      <c r="E11">
        <v>28136</v>
      </c>
      <c r="F11">
        <v>20255</v>
      </c>
      <c r="G11">
        <v>19032</v>
      </c>
      <c r="J11">
        <v>53286</v>
      </c>
      <c r="K11">
        <v>127574.00762171</v>
      </c>
      <c r="L11">
        <v>274927.08688485698</v>
      </c>
      <c r="O11">
        <v>61765</v>
      </c>
      <c r="P11" s="7">
        <v>147009.23252808701</v>
      </c>
      <c r="Q11" s="7">
        <v>211702.40268474101</v>
      </c>
    </row>
    <row r="12" spans="1:17" x14ac:dyDescent="0.3">
      <c r="A12" t="s">
        <v>431</v>
      </c>
      <c r="B12">
        <v>5</v>
      </c>
      <c r="C12">
        <v>18148</v>
      </c>
      <c r="D12">
        <v>14339</v>
      </c>
      <c r="E12">
        <v>5880</v>
      </c>
      <c r="F12">
        <v>5325</v>
      </c>
      <c r="G12">
        <v>106086</v>
      </c>
      <c r="J12">
        <v>61494</v>
      </c>
      <c r="K12">
        <v>122015.361200485</v>
      </c>
      <c r="L12">
        <v>314840.60270847601</v>
      </c>
      <c r="O12">
        <v>69835</v>
      </c>
      <c r="P12" s="7">
        <v>143542.21584735499</v>
      </c>
      <c r="Q12" s="7">
        <v>181933.69146579501</v>
      </c>
    </row>
    <row r="13" spans="1:17" x14ac:dyDescent="0.3">
      <c r="J13">
        <v>69565</v>
      </c>
      <c r="K13">
        <v>107493.117688169</v>
      </c>
      <c r="L13">
        <v>326569.51352919498</v>
      </c>
      <c r="O13">
        <v>76003</v>
      </c>
      <c r="P13" s="7">
        <v>143542.21584735499</v>
      </c>
      <c r="Q13" s="7">
        <v>183388.167941347</v>
      </c>
    </row>
    <row r="14" spans="1:17" x14ac:dyDescent="0.3">
      <c r="A14" t="s">
        <v>155</v>
      </c>
      <c r="B14">
        <v>4</v>
      </c>
      <c r="C14">
        <v>106081</v>
      </c>
      <c r="D14">
        <v>100188</v>
      </c>
      <c r="E14">
        <v>100152</v>
      </c>
      <c r="F14">
        <v>94792</v>
      </c>
      <c r="J14">
        <v>75772</v>
      </c>
      <c r="K14">
        <v>152911.72568437201</v>
      </c>
      <c r="L14">
        <v>327243.19751832902</v>
      </c>
      <c r="O14">
        <v>85014</v>
      </c>
      <c r="P14" s="7">
        <v>122336.68669233601</v>
      </c>
      <c r="Q14" s="7">
        <v>213286.50890078599</v>
      </c>
    </row>
    <row r="15" spans="1:17" x14ac:dyDescent="0.3">
      <c r="A15" t="s">
        <v>156</v>
      </c>
      <c r="B15">
        <v>4</v>
      </c>
      <c r="C15">
        <v>106054</v>
      </c>
      <c r="D15">
        <v>106081</v>
      </c>
      <c r="E15">
        <v>94792</v>
      </c>
      <c r="F15">
        <v>91405</v>
      </c>
      <c r="J15">
        <v>84767</v>
      </c>
      <c r="K15">
        <v>122015.361200485</v>
      </c>
      <c r="L15">
        <v>324914.82954006002</v>
      </c>
      <c r="O15">
        <v>91405</v>
      </c>
      <c r="P15" s="7">
        <v>122336.68669233601</v>
      </c>
      <c r="Q15" s="7">
        <v>192763.17549712499</v>
      </c>
    </row>
    <row r="16" spans="1:17" x14ac:dyDescent="0.3">
      <c r="A16" t="s">
        <v>157</v>
      </c>
      <c r="B16">
        <v>4</v>
      </c>
      <c r="C16">
        <v>106090</v>
      </c>
      <c r="D16">
        <v>106041</v>
      </c>
      <c r="E16">
        <v>91405</v>
      </c>
      <c r="F16">
        <v>85014</v>
      </c>
      <c r="J16">
        <v>91266</v>
      </c>
      <c r="K16">
        <v>161928.87702410499</v>
      </c>
      <c r="L16">
        <v>241282.43219579101</v>
      </c>
      <c r="O16">
        <v>94792</v>
      </c>
      <c r="P16" s="7">
        <v>89365.715992404701</v>
      </c>
      <c r="Q16" s="7">
        <v>167340.870180389</v>
      </c>
    </row>
    <row r="17" spans="1:17" x14ac:dyDescent="0.3">
      <c r="A17" t="s">
        <v>158</v>
      </c>
      <c r="B17">
        <v>4</v>
      </c>
      <c r="C17">
        <v>76003</v>
      </c>
      <c r="D17">
        <v>106092</v>
      </c>
      <c r="E17">
        <v>106090</v>
      </c>
      <c r="F17">
        <v>85014</v>
      </c>
      <c r="J17">
        <v>94710</v>
      </c>
      <c r="K17">
        <v>152911.72568437201</v>
      </c>
      <c r="L17">
        <v>182666.427422332</v>
      </c>
      <c r="O17">
        <v>100152</v>
      </c>
      <c r="P17" s="7">
        <v>89365.715992404701</v>
      </c>
      <c r="Q17" s="7">
        <v>97044.011116092603</v>
      </c>
    </row>
    <row r="18" spans="1:17" x14ac:dyDescent="0.3">
      <c r="A18" t="s">
        <v>159</v>
      </c>
      <c r="B18">
        <v>4</v>
      </c>
      <c r="C18">
        <v>106093</v>
      </c>
      <c r="D18">
        <v>106092</v>
      </c>
      <c r="E18">
        <v>76003</v>
      </c>
      <c r="F18">
        <v>69835</v>
      </c>
      <c r="J18">
        <v>98579</v>
      </c>
      <c r="K18">
        <v>164640.63650508999</v>
      </c>
      <c r="L18">
        <v>103696.263753363</v>
      </c>
      <c r="O18">
        <v>100188</v>
      </c>
      <c r="P18" s="7">
        <v>92567.975473390004</v>
      </c>
      <c r="Q18" s="7">
        <v>97044.011116092603</v>
      </c>
    </row>
    <row r="19" spans="1:17" x14ac:dyDescent="0.3">
      <c r="A19" t="s">
        <v>100</v>
      </c>
      <c r="B19">
        <v>4</v>
      </c>
      <c r="C19">
        <v>106094</v>
      </c>
      <c r="D19">
        <v>106093</v>
      </c>
      <c r="E19">
        <v>69835</v>
      </c>
      <c r="F19">
        <v>61765</v>
      </c>
      <c r="J19">
        <v>100188</v>
      </c>
      <c r="K19">
        <v>161928.87702410499</v>
      </c>
      <c r="L19">
        <v>103696.263753363</v>
      </c>
      <c r="O19">
        <v>106035</v>
      </c>
      <c r="P19" s="7">
        <v>90820.192467957197</v>
      </c>
      <c r="Q19" s="7">
        <v>265878.90253969101</v>
      </c>
    </row>
    <row r="20" spans="1:17" x14ac:dyDescent="0.3">
      <c r="A20" t="s">
        <v>160</v>
      </c>
      <c r="B20">
        <v>4</v>
      </c>
      <c r="C20">
        <v>61765</v>
      </c>
      <c r="D20">
        <v>106094</v>
      </c>
      <c r="E20">
        <v>106035</v>
      </c>
      <c r="F20">
        <v>53005</v>
      </c>
      <c r="J20">
        <v>106051</v>
      </c>
      <c r="K20">
        <v>162602.561013239</v>
      </c>
      <c r="L20">
        <v>314840.60270847601</v>
      </c>
      <c r="O20">
        <v>106036</v>
      </c>
      <c r="P20" s="7">
        <v>92567.975473390004</v>
      </c>
      <c r="Q20" s="7">
        <v>290551.44837544201</v>
      </c>
    </row>
    <row r="21" spans="1:17" x14ac:dyDescent="0.3">
      <c r="A21" t="s">
        <v>104</v>
      </c>
      <c r="B21">
        <v>4</v>
      </c>
      <c r="C21">
        <v>106036</v>
      </c>
      <c r="D21">
        <v>106035</v>
      </c>
      <c r="E21">
        <v>53005</v>
      </c>
      <c r="F21">
        <v>45234</v>
      </c>
      <c r="J21">
        <v>106052</v>
      </c>
      <c r="K21">
        <v>164640.63650508999</v>
      </c>
      <c r="L21">
        <v>274927.08688485698</v>
      </c>
      <c r="O21">
        <v>106037</v>
      </c>
      <c r="P21" s="7">
        <v>122466.316432829</v>
      </c>
      <c r="Q21" s="7">
        <v>293277.217337412</v>
      </c>
    </row>
    <row r="22" spans="1:17" x14ac:dyDescent="0.3">
      <c r="A22" t="s">
        <v>161</v>
      </c>
      <c r="B22">
        <v>4</v>
      </c>
      <c r="C22">
        <v>106037</v>
      </c>
      <c r="D22">
        <v>106036</v>
      </c>
      <c r="E22">
        <v>45234</v>
      </c>
      <c r="F22">
        <v>37097</v>
      </c>
      <c r="J22">
        <v>106054</v>
      </c>
      <c r="K22">
        <v>162312.26852682099</v>
      </c>
      <c r="L22">
        <v>241282.43219579101</v>
      </c>
      <c r="O22">
        <v>106038</v>
      </c>
      <c r="P22" s="7">
        <v>90820.192467957197</v>
      </c>
      <c r="Q22" s="7">
        <v>310984.69680626597</v>
      </c>
    </row>
    <row r="23" spans="1:17" x14ac:dyDescent="0.3">
      <c r="A23" t="s">
        <v>162</v>
      </c>
      <c r="B23">
        <v>4</v>
      </c>
      <c r="C23">
        <v>28674</v>
      </c>
      <c r="D23">
        <v>106038</v>
      </c>
      <c r="E23">
        <v>106037</v>
      </c>
      <c r="F23">
        <v>37097</v>
      </c>
      <c r="J23">
        <v>106055</v>
      </c>
      <c r="K23">
        <v>162602.561013239</v>
      </c>
      <c r="L23">
        <v>324914.82954006002</v>
      </c>
      <c r="O23">
        <v>106041</v>
      </c>
      <c r="P23" s="7">
        <v>122466.316432829</v>
      </c>
      <c r="Q23" s="7">
        <v>122466.316432829</v>
      </c>
    </row>
    <row r="24" spans="1:17" x14ac:dyDescent="0.3">
      <c r="A24" t="s">
        <v>163</v>
      </c>
      <c r="B24">
        <v>4</v>
      </c>
      <c r="C24">
        <v>106087</v>
      </c>
      <c r="D24">
        <v>106038</v>
      </c>
      <c r="E24">
        <v>27373</v>
      </c>
      <c r="F24">
        <v>20174</v>
      </c>
      <c r="J24">
        <v>106056</v>
      </c>
      <c r="K24">
        <v>78970.163668969893</v>
      </c>
      <c r="L24">
        <v>327243.19751832902</v>
      </c>
      <c r="O24">
        <v>106054</v>
      </c>
      <c r="P24" s="7">
        <v>70296.859064296601</v>
      </c>
      <c r="Q24" s="7">
        <v>70296.859064296601</v>
      </c>
    </row>
    <row r="25" spans="1:17" x14ac:dyDescent="0.3">
      <c r="A25" t="s">
        <v>164</v>
      </c>
      <c r="B25">
        <v>5</v>
      </c>
      <c r="C25">
        <v>5325</v>
      </c>
      <c r="D25">
        <v>106087</v>
      </c>
      <c r="E25">
        <v>20174</v>
      </c>
      <c r="F25">
        <v>16550</v>
      </c>
      <c r="G25">
        <v>8863</v>
      </c>
      <c r="J25">
        <v>106057</v>
      </c>
      <c r="K25">
        <v>162312.26852682099</v>
      </c>
      <c r="L25">
        <v>326569.51352919498</v>
      </c>
      <c r="O25">
        <v>106081</v>
      </c>
      <c r="P25" s="7">
        <v>70296.859064296601</v>
      </c>
      <c r="Q25" s="7">
        <v>167340.870180389</v>
      </c>
    </row>
    <row r="26" spans="1:17" x14ac:dyDescent="0.3">
      <c r="J26">
        <v>106081</v>
      </c>
      <c r="K26">
        <v>103696.263753363</v>
      </c>
      <c r="L26">
        <v>182666.427422332</v>
      </c>
      <c r="O26">
        <v>106087</v>
      </c>
      <c r="P26" s="7">
        <v>97044.011116092603</v>
      </c>
      <c r="Q26" s="7">
        <v>284497.90377920802</v>
      </c>
    </row>
    <row r="27" spans="1:17" x14ac:dyDescent="0.3">
      <c r="J27">
        <v>106082</v>
      </c>
      <c r="K27">
        <v>78970.163668969893</v>
      </c>
      <c r="L27">
        <v>235067.12530987899</v>
      </c>
      <c r="O27">
        <v>106090</v>
      </c>
      <c r="P27" s="7">
        <v>97044.011116092603</v>
      </c>
      <c r="Q27" s="7">
        <v>213286.50890078599</v>
      </c>
    </row>
    <row r="28" spans="1:17" x14ac:dyDescent="0.3">
      <c r="F28" s="7">
        <v>103696.263753363</v>
      </c>
      <c r="G28" s="7">
        <f>F28</f>
        <v>103696.263753363</v>
      </c>
      <c r="J28">
        <v>106083</v>
      </c>
      <c r="K28">
        <v>103696.263753363</v>
      </c>
      <c r="L28">
        <v>107493.117688169</v>
      </c>
      <c r="O28">
        <v>106092</v>
      </c>
      <c r="P28" s="7">
        <v>97044.011116092603</v>
      </c>
      <c r="Q28" s="7">
        <v>183388.167941347</v>
      </c>
    </row>
    <row r="29" spans="1:17" x14ac:dyDescent="0.3">
      <c r="E29" s="7">
        <f>F29</f>
        <v>97044.011116092603</v>
      </c>
      <c r="F29" s="7">
        <v>97044.011116092603</v>
      </c>
      <c r="G29" s="7"/>
      <c r="J29">
        <v>106084</v>
      </c>
      <c r="K29">
        <v>103696.263753363</v>
      </c>
      <c r="L29">
        <v>231989.60065931699</v>
      </c>
      <c r="O29">
        <v>106093</v>
      </c>
      <c r="P29" s="7">
        <v>143542.21584735499</v>
      </c>
      <c r="Q29" s="7">
        <v>181933.69146579501</v>
      </c>
    </row>
    <row r="30" spans="1:17" x14ac:dyDescent="0.3">
      <c r="F30" s="7">
        <v>78970.163668969893</v>
      </c>
      <c r="G30" s="7">
        <f>F30</f>
        <v>78970.163668969893</v>
      </c>
      <c r="J30">
        <v>106085</v>
      </c>
      <c r="K30">
        <v>152911.72568437201</v>
      </c>
      <c r="L30">
        <v>104415.593037607</v>
      </c>
      <c r="O30">
        <v>106094</v>
      </c>
      <c r="P30" s="7">
        <v>122336.68669233601</v>
      </c>
      <c r="Q30" s="7">
        <v>211702.40268474101</v>
      </c>
    </row>
    <row r="31" spans="1:17" x14ac:dyDescent="0.3">
      <c r="E31" s="7">
        <f>F31</f>
        <v>70296.859064296601</v>
      </c>
      <c r="F31" s="7">
        <v>70296.859064296601</v>
      </c>
      <c r="G31" s="7"/>
      <c r="J31">
        <v>106086</v>
      </c>
      <c r="K31">
        <v>161928.87702410499</v>
      </c>
      <c r="L31">
        <v>125409.70709425599</v>
      </c>
      <c r="P31" s="7">
        <v>143542.21584735499</v>
      </c>
    </row>
    <row r="32" spans="1:17" x14ac:dyDescent="0.3">
      <c r="F32" s="7">
        <v>162312.26852682099</v>
      </c>
      <c r="G32" s="7">
        <f>F32</f>
        <v>162312.26852682099</v>
      </c>
      <c r="J32">
        <v>106088</v>
      </c>
      <c r="K32">
        <v>122015.361200485</v>
      </c>
      <c r="L32">
        <v>122015.361200485</v>
      </c>
      <c r="P32" s="7">
        <v>147009.23252808701</v>
      </c>
    </row>
    <row r="33" spans="5:16" x14ac:dyDescent="0.3">
      <c r="E33" s="7">
        <f>F33</f>
        <v>122466.316432829</v>
      </c>
      <c r="F33" s="7">
        <v>122466.316432829</v>
      </c>
      <c r="G33" s="7"/>
      <c r="K33">
        <v>152911.72568437201</v>
      </c>
      <c r="P33" s="7">
        <v>147009.23252808701</v>
      </c>
    </row>
    <row r="34" spans="5:16" x14ac:dyDescent="0.3">
      <c r="F34" s="7">
        <v>162602.561013239</v>
      </c>
      <c r="G34" s="7">
        <f>F34</f>
        <v>162602.561013239</v>
      </c>
      <c r="K34">
        <v>162312.26852682099</v>
      </c>
      <c r="P34" s="7">
        <v>146267.98480932499</v>
      </c>
    </row>
    <row r="35" spans="5:16" x14ac:dyDescent="0.3">
      <c r="E35" s="7">
        <f>F35</f>
        <v>90820.192467957197</v>
      </c>
      <c r="F35" s="7">
        <v>90820.192467957197</v>
      </c>
      <c r="G35" s="7"/>
      <c r="K35">
        <v>78970.163668969893</v>
      </c>
      <c r="P35" s="7">
        <v>146267.98480932499</v>
      </c>
    </row>
    <row r="36" spans="5:16" x14ac:dyDescent="0.3">
      <c r="F36" s="7">
        <v>164640.63650508999</v>
      </c>
      <c r="G36" s="7">
        <f>F36</f>
        <v>164640.63650508999</v>
      </c>
      <c r="K36">
        <v>162602.561013239</v>
      </c>
      <c r="P36" s="7">
        <v>164716.71199694101</v>
      </c>
    </row>
    <row r="37" spans="5:16" x14ac:dyDescent="0.3">
      <c r="E37" s="7">
        <f>F37</f>
        <v>92567.975473390004</v>
      </c>
      <c r="F37" s="7">
        <v>92567.975473390004</v>
      </c>
      <c r="G37" s="7"/>
      <c r="K37">
        <v>162312.26852682099</v>
      </c>
      <c r="P37" s="7">
        <v>122466.316432829</v>
      </c>
    </row>
    <row r="38" spans="5:16" x14ac:dyDescent="0.3">
      <c r="F38" s="7">
        <v>161928.87702410499</v>
      </c>
      <c r="G38" s="7">
        <f>F38</f>
        <v>161928.87702410499</v>
      </c>
      <c r="K38">
        <v>164640.63650508999</v>
      </c>
      <c r="P38" s="7">
        <v>70296.859064296601</v>
      </c>
    </row>
    <row r="39" spans="5:16" x14ac:dyDescent="0.3">
      <c r="E39" s="7">
        <f>F39</f>
        <v>89365.715992404701</v>
      </c>
      <c r="F39" s="7">
        <v>89365.715992404701</v>
      </c>
      <c r="G39" s="7"/>
      <c r="K39">
        <v>162602.561013239</v>
      </c>
      <c r="P39" s="7">
        <v>97044.011116092603</v>
      </c>
    </row>
    <row r="40" spans="5:16" x14ac:dyDescent="0.3">
      <c r="F40" s="7">
        <v>152911.72568437201</v>
      </c>
      <c r="G40" s="7">
        <f>F40</f>
        <v>152911.72568437201</v>
      </c>
      <c r="K40">
        <v>161928.87702410499</v>
      </c>
      <c r="P40" s="7">
        <v>70296.859064296601</v>
      </c>
    </row>
    <row r="41" spans="5:16" x14ac:dyDescent="0.3">
      <c r="E41" s="7">
        <f>F41</f>
        <v>122336.68669233601</v>
      </c>
      <c r="F41" s="7">
        <v>122336.68669233601</v>
      </c>
      <c r="G41" s="7"/>
      <c r="K41">
        <v>164640.63650508999</v>
      </c>
      <c r="P41" s="7">
        <v>164716.71199694101</v>
      </c>
    </row>
    <row r="42" spans="5:16" x14ac:dyDescent="0.3">
      <c r="F42" s="7">
        <v>122015.361200485</v>
      </c>
      <c r="G42" s="7">
        <f>F42</f>
        <v>122015.361200485</v>
      </c>
      <c r="K42">
        <v>78970.163668969893</v>
      </c>
      <c r="P42" s="7">
        <v>119781.19178226699</v>
      </c>
    </row>
    <row r="43" spans="5:16" x14ac:dyDescent="0.3">
      <c r="E43" s="7">
        <f>F43</f>
        <v>143542.21584735499</v>
      </c>
      <c r="F43" s="7">
        <v>143542.21584735499</v>
      </c>
      <c r="G43" s="7"/>
      <c r="K43">
        <v>103696.263753363</v>
      </c>
      <c r="P43" s="7">
        <v>122466.316432829</v>
      </c>
    </row>
    <row r="44" spans="5:16" x14ac:dyDescent="0.3">
      <c r="F44" s="7">
        <v>107493.117688169</v>
      </c>
      <c r="G44" s="7">
        <f>F44</f>
        <v>107493.117688169</v>
      </c>
      <c r="K44">
        <v>107493.117688169</v>
      </c>
      <c r="P44" s="7">
        <v>90820.192467957197</v>
      </c>
    </row>
    <row r="45" spans="5:16" x14ac:dyDescent="0.3">
      <c r="E45" s="7">
        <f>F45</f>
        <v>147009.23252808701</v>
      </c>
      <c r="F45" s="7">
        <v>147009.23252808701</v>
      </c>
      <c r="G45" s="7"/>
      <c r="K45">
        <v>127574.00762171</v>
      </c>
      <c r="P45" s="7">
        <v>90820.192467957197</v>
      </c>
    </row>
    <row r="46" spans="5:16" x14ac:dyDescent="0.3">
      <c r="F46" s="7">
        <v>127574.00762171</v>
      </c>
      <c r="G46" s="7">
        <f>F46</f>
        <v>127574.00762171</v>
      </c>
      <c r="K46">
        <v>107493.117688169</v>
      </c>
      <c r="P46" s="7">
        <v>92567.975473390004</v>
      </c>
    </row>
    <row r="47" spans="5:16" x14ac:dyDescent="0.3">
      <c r="E47" s="7">
        <f>F47</f>
        <v>146267.98480932499</v>
      </c>
      <c r="F47" s="7">
        <v>146267.98480932499</v>
      </c>
      <c r="G47" s="7"/>
      <c r="K47">
        <v>127574.00762171</v>
      </c>
      <c r="P47" s="7">
        <v>92567.975473390004</v>
      </c>
    </row>
    <row r="48" spans="5:16" x14ac:dyDescent="0.3">
      <c r="F48" s="7">
        <v>104415.593037607</v>
      </c>
      <c r="G48" s="7">
        <f>F48</f>
        <v>104415.593037607</v>
      </c>
      <c r="K48">
        <v>104415.593037607</v>
      </c>
      <c r="P48" s="7">
        <v>89365.715992404701</v>
      </c>
    </row>
    <row r="49" spans="5:16" x14ac:dyDescent="0.3">
      <c r="E49" s="7">
        <f>F49</f>
        <v>164716.71199694101</v>
      </c>
      <c r="F49" s="7">
        <v>164716.71199694101</v>
      </c>
      <c r="G49" s="7"/>
      <c r="K49">
        <v>104415.593037607</v>
      </c>
      <c r="P49" s="7">
        <v>89365.715992404701</v>
      </c>
    </row>
    <row r="50" spans="5:16" x14ac:dyDescent="0.3">
      <c r="F50" s="7">
        <v>125409.70709425599</v>
      </c>
      <c r="G50" s="7">
        <f>F50</f>
        <v>125409.70709425599</v>
      </c>
      <c r="K50">
        <v>125409.70709425599</v>
      </c>
      <c r="P50" s="7">
        <v>122336.68669233601</v>
      </c>
    </row>
    <row r="51" spans="5:16" x14ac:dyDescent="0.3">
      <c r="E51" s="7">
        <f>F51</f>
        <v>119781.19178226699</v>
      </c>
      <c r="F51" s="7">
        <v>119781.19178226699</v>
      </c>
      <c r="G51" s="7"/>
      <c r="K51">
        <v>122015.361200485</v>
      </c>
    </row>
    <row r="72" spans="2:2" x14ac:dyDescent="0.3">
      <c r="B72">
        <v>181.8</v>
      </c>
    </row>
    <row r="73" spans="2:2" x14ac:dyDescent="0.3">
      <c r="B73">
        <v>115.4</v>
      </c>
    </row>
    <row r="74" spans="2:2" x14ac:dyDescent="0.3">
      <c r="B74">
        <f>B73/B72</f>
        <v>0.63476347634763475</v>
      </c>
    </row>
  </sheetData>
  <phoneticPr fontId="1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91"/>
  <sheetViews>
    <sheetView topLeftCell="A102" zoomScale="85" zoomScaleNormal="85" workbookViewId="0">
      <selection activeCell="Q105" sqref="Q105"/>
    </sheetView>
  </sheetViews>
  <sheetFormatPr defaultRowHeight="16.5" x14ac:dyDescent="0.3"/>
  <cols>
    <col min="1" max="3" width="8.625" customWidth="1"/>
    <col min="4" max="4" width="10.625" customWidth="1"/>
    <col min="5" max="7" width="13.125" customWidth="1"/>
    <col min="8" max="11" width="8.625" customWidth="1"/>
    <col min="12" max="13" width="10.75" customWidth="1"/>
    <col min="14" max="1025" width="8.625" customWidth="1"/>
  </cols>
  <sheetData>
    <row r="1" spans="1:22" x14ac:dyDescent="0.3">
      <c r="F1" t="s">
        <v>153</v>
      </c>
      <c r="G1" t="s">
        <v>154</v>
      </c>
    </row>
    <row r="2" spans="1:22" x14ac:dyDescent="0.3">
      <c r="A2" s="28">
        <v>95601</v>
      </c>
      <c r="B2" s="29"/>
      <c r="C2" s="30">
        <v>67755.096594518007</v>
      </c>
      <c r="D2" s="30"/>
      <c r="F2" s="11">
        <v>36</v>
      </c>
      <c r="G2" s="30">
        <v>85006.796658034902</v>
      </c>
      <c r="H2" s="31">
        <f>G2</f>
        <v>85006.796658034902</v>
      </c>
      <c r="K2">
        <v>36</v>
      </c>
      <c r="L2">
        <v>85006.796658034902</v>
      </c>
      <c r="N2" t="s">
        <v>155</v>
      </c>
      <c r="O2">
        <v>96122</v>
      </c>
      <c r="P2">
        <v>100853</v>
      </c>
      <c r="Q2">
        <v>101412</v>
      </c>
      <c r="R2">
        <v>106059</v>
      </c>
      <c r="V2" s="30"/>
    </row>
    <row r="3" spans="1:22" x14ac:dyDescent="0.3">
      <c r="A3" s="28">
        <v>99676</v>
      </c>
      <c r="B3" s="29"/>
      <c r="C3" s="5">
        <v>67755.096594518007</v>
      </c>
      <c r="F3" s="11">
        <v>93</v>
      </c>
      <c r="G3" s="30">
        <v>85006.796658034902</v>
      </c>
      <c r="H3" s="31">
        <f>G3</f>
        <v>85006.796658034902</v>
      </c>
      <c r="K3">
        <v>93</v>
      </c>
      <c r="L3">
        <v>85006.796658034902</v>
      </c>
      <c r="N3" t="s">
        <v>156</v>
      </c>
      <c r="O3">
        <v>91398</v>
      </c>
      <c r="P3">
        <v>96122</v>
      </c>
      <c r="Q3">
        <v>106054</v>
      </c>
      <c r="R3">
        <v>106059</v>
      </c>
      <c r="V3" s="30"/>
    </row>
    <row r="4" spans="1:22" x14ac:dyDescent="0.3">
      <c r="A4" s="28">
        <v>100853</v>
      </c>
      <c r="B4" s="29"/>
      <c r="C4" s="5">
        <v>67755.096594518007</v>
      </c>
      <c r="F4" s="11">
        <v>3196</v>
      </c>
      <c r="G4" s="30">
        <v>85006.796658034902</v>
      </c>
      <c r="H4" s="31">
        <f>G4</f>
        <v>85006.796658034902</v>
      </c>
      <c r="K4">
        <v>3196</v>
      </c>
      <c r="L4">
        <v>85006.796658034902</v>
      </c>
      <c r="N4" t="s">
        <v>157</v>
      </c>
      <c r="O4">
        <v>85002</v>
      </c>
      <c r="P4">
        <v>91398</v>
      </c>
      <c r="Q4">
        <v>106054</v>
      </c>
      <c r="R4">
        <v>106055</v>
      </c>
      <c r="V4" s="30"/>
    </row>
    <row r="5" spans="1:22" x14ac:dyDescent="0.3">
      <c r="A5" s="28">
        <v>106059</v>
      </c>
      <c r="B5" s="29"/>
      <c r="C5" s="5">
        <v>67755.096594518007</v>
      </c>
      <c r="F5" s="11">
        <v>6729</v>
      </c>
      <c r="G5" s="30">
        <v>132001.41784335801</v>
      </c>
      <c r="H5" s="31">
        <f>G5+G6</f>
        <v>217008.21450139291</v>
      </c>
      <c r="I5" s="31"/>
      <c r="K5">
        <v>6729</v>
      </c>
      <c r="L5">
        <v>217008.21450139201</v>
      </c>
      <c r="N5" t="s">
        <v>158</v>
      </c>
      <c r="O5">
        <v>75558</v>
      </c>
      <c r="P5">
        <v>85002</v>
      </c>
      <c r="Q5">
        <v>106055</v>
      </c>
      <c r="R5">
        <v>106056</v>
      </c>
    </row>
    <row r="6" spans="1:22" x14ac:dyDescent="0.3">
      <c r="A6" s="29"/>
      <c r="B6" s="29"/>
      <c r="F6">
        <v>6729</v>
      </c>
      <c r="G6" s="30">
        <v>85006.796658034902</v>
      </c>
      <c r="I6" s="31"/>
      <c r="K6">
        <v>15773</v>
      </c>
      <c r="L6">
        <v>132001.41784335801</v>
      </c>
      <c r="N6" t="s">
        <v>159</v>
      </c>
      <c r="O6">
        <v>69833</v>
      </c>
      <c r="P6">
        <v>75558</v>
      </c>
      <c r="Q6">
        <v>106056</v>
      </c>
      <c r="R6">
        <v>106057</v>
      </c>
      <c r="V6" s="30"/>
    </row>
    <row r="7" spans="1:22" x14ac:dyDescent="0.3">
      <c r="A7">
        <v>89699</v>
      </c>
      <c r="C7" s="30">
        <v>109999.27548737</v>
      </c>
      <c r="D7" s="30"/>
      <c r="F7">
        <v>15773</v>
      </c>
      <c r="G7" s="30">
        <v>132001.41784335801</v>
      </c>
      <c r="H7" s="31">
        <f>G7</f>
        <v>132001.41784335801</v>
      </c>
      <c r="K7">
        <v>15851</v>
      </c>
      <c r="L7">
        <v>76045.462073093295</v>
      </c>
      <c r="N7" t="s">
        <v>100</v>
      </c>
      <c r="O7">
        <v>61758</v>
      </c>
      <c r="P7">
        <v>69833</v>
      </c>
      <c r="Q7">
        <v>106051</v>
      </c>
      <c r="R7">
        <v>106057</v>
      </c>
    </row>
    <row r="8" spans="1:22" x14ac:dyDescent="0.3">
      <c r="A8">
        <v>95601</v>
      </c>
      <c r="C8" s="30">
        <v>109999.27548737</v>
      </c>
      <c r="D8" s="30"/>
      <c r="F8">
        <v>15851</v>
      </c>
      <c r="G8">
        <v>76045.462073093295</v>
      </c>
      <c r="H8" s="31">
        <f>G8</f>
        <v>76045.462073093295</v>
      </c>
      <c r="K8">
        <v>19564</v>
      </c>
      <c r="L8">
        <v>76045.462073093295</v>
      </c>
      <c r="N8" t="s">
        <v>160</v>
      </c>
      <c r="O8">
        <v>106052</v>
      </c>
      <c r="P8">
        <v>106051</v>
      </c>
      <c r="Q8">
        <v>61758</v>
      </c>
      <c r="R8">
        <v>53652</v>
      </c>
      <c r="V8" s="30"/>
    </row>
    <row r="9" spans="1:22" x14ac:dyDescent="0.3">
      <c r="A9">
        <v>106054</v>
      </c>
      <c r="C9" s="30">
        <v>109999.27548737</v>
      </c>
      <c r="D9" s="30"/>
      <c r="F9">
        <v>19564</v>
      </c>
      <c r="G9">
        <v>76045.462073093295</v>
      </c>
      <c r="H9" s="31">
        <f>G9</f>
        <v>76045.462073093295</v>
      </c>
      <c r="K9">
        <v>20248</v>
      </c>
      <c r="L9">
        <v>145297.150449504</v>
      </c>
      <c r="N9" t="s">
        <v>104</v>
      </c>
      <c r="O9">
        <v>106077</v>
      </c>
      <c r="P9">
        <v>106052</v>
      </c>
      <c r="Q9">
        <v>53652</v>
      </c>
      <c r="R9">
        <v>106078</v>
      </c>
      <c r="S9">
        <v>43162</v>
      </c>
    </row>
    <row r="10" spans="1:22" x14ac:dyDescent="0.3">
      <c r="A10">
        <v>106059</v>
      </c>
      <c r="C10" s="30">
        <v>109999.27548737</v>
      </c>
      <c r="D10" s="30"/>
      <c r="F10">
        <v>20248</v>
      </c>
      <c r="G10">
        <v>145297.150449504</v>
      </c>
      <c r="H10" s="31">
        <f>G10</f>
        <v>145297.150449504</v>
      </c>
      <c r="K10">
        <v>28112</v>
      </c>
      <c r="L10">
        <v>283485.430021498</v>
      </c>
      <c r="N10" t="s">
        <v>161</v>
      </c>
      <c r="O10">
        <v>106078</v>
      </c>
      <c r="P10">
        <v>43162</v>
      </c>
      <c r="Q10">
        <v>37082</v>
      </c>
      <c r="R10">
        <v>106080</v>
      </c>
      <c r="S10">
        <v>106079</v>
      </c>
      <c r="T10">
        <v>29095</v>
      </c>
      <c r="V10" s="30"/>
    </row>
    <row r="11" spans="1:22" x14ac:dyDescent="0.3">
      <c r="A11">
        <v>106072</v>
      </c>
      <c r="C11" s="30">
        <v>109999.27548737</v>
      </c>
      <c r="D11" s="30"/>
      <c r="F11">
        <v>28112</v>
      </c>
      <c r="G11">
        <v>138188.279571994</v>
      </c>
      <c r="H11" s="31">
        <f>G11+G12</f>
        <v>283485.430021498</v>
      </c>
      <c r="I11" s="31"/>
      <c r="K11">
        <v>36800</v>
      </c>
      <c r="L11">
        <v>282726.397627889</v>
      </c>
      <c r="N11" t="s">
        <v>162</v>
      </c>
      <c r="O11">
        <v>106067</v>
      </c>
      <c r="P11">
        <v>106079</v>
      </c>
      <c r="Q11">
        <v>26935</v>
      </c>
      <c r="R11">
        <v>23194</v>
      </c>
      <c r="S11">
        <v>17951</v>
      </c>
    </row>
    <row r="12" spans="1:22" x14ac:dyDescent="0.3">
      <c r="F12">
        <v>28112</v>
      </c>
      <c r="G12">
        <v>145297.150449504</v>
      </c>
      <c r="I12" s="31"/>
      <c r="K12">
        <v>44966</v>
      </c>
      <c r="L12">
        <v>287221.60113841802</v>
      </c>
      <c r="N12" t="s">
        <v>163</v>
      </c>
      <c r="O12">
        <v>106064</v>
      </c>
      <c r="P12">
        <v>106061</v>
      </c>
      <c r="Q12">
        <v>106067</v>
      </c>
      <c r="R12">
        <v>17951</v>
      </c>
      <c r="S12">
        <v>11726</v>
      </c>
      <c r="V12" s="30"/>
    </row>
    <row r="13" spans="1:22" x14ac:dyDescent="0.3">
      <c r="A13">
        <v>84766</v>
      </c>
      <c r="C13" s="30">
        <v>73677.044706112298</v>
      </c>
      <c r="D13" s="30"/>
      <c r="F13">
        <v>36800</v>
      </c>
      <c r="G13">
        <v>144538.118055895</v>
      </c>
      <c r="H13" s="31">
        <f>G13+G14</f>
        <v>282726.397627889</v>
      </c>
      <c r="I13" s="31"/>
      <c r="K13">
        <v>53286</v>
      </c>
      <c r="L13">
        <v>265254.17746860802</v>
      </c>
      <c r="N13" t="s">
        <v>164</v>
      </c>
      <c r="O13">
        <v>660</v>
      </c>
      <c r="P13">
        <v>106064</v>
      </c>
      <c r="Q13">
        <v>11726</v>
      </c>
      <c r="R13">
        <v>7547</v>
      </c>
    </row>
    <row r="14" spans="1:22" x14ac:dyDescent="0.3">
      <c r="A14">
        <v>89699</v>
      </c>
      <c r="C14" s="30">
        <v>73677.044706112298</v>
      </c>
      <c r="D14" s="30"/>
      <c r="F14">
        <v>36800</v>
      </c>
      <c r="G14">
        <v>138188.279571994</v>
      </c>
      <c r="I14" s="31"/>
      <c r="K14">
        <v>61494</v>
      </c>
      <c r="L14">
        <v>219801.26534176999</v>
      </c>
      <c r="O14" t="s">
        <v>165</v>
      </c>
      <c r="P14" t="s">
        <v>166</v>
      </c>
      <c r="V14" s="30"/>
    </row>
    <row r="15" spans="1:22" x14ac:dyDescent="0.3">
      <c r="A15">
        <v>106072</v>
      </c>
      <c r="C15" s="30">
        <v>73677.044706112298</v>
      </c>
      <c r="D15" s="30"/>
      <c r="F15">
        <v>44966</v>
      </c>
      <c r="G15">
        <v>142683.48308252299</v>
      </c>
      <c r="H15" s="31">
        <f>G15+G16</f>
        <v>287221.60113841796</v>
      </c>
      <c r="I15" s="31"/>
      <c r="K15">
        <v>69565</v>
      </c>
      <c r="L15">
        <v>196401.66890604401</v>
      </c>
      <c r="O15">
        <v>660</v>
      </c>
      <c r="P15" s="30">
        <v>102436.432684321</v>
      </c>
      <c r="Q15" s="31">
        <f>P15</f>
        <v>102436.432684321</v>
      </c>
      <c r="S15">
        <v>660</v>
      </c>
      <c r="T15">
        <v>102436.432684321</v>
      </c>
    </row>
    <row r="16" spans="1:22" x14ac:dyDescent="0.3">
      <c r="A16">
        <v>106073</v>
      </c>
      <c r="C16" s="30">
        <v>73677.044706112298</v>
      </c>
      <c r="D16" s="30"/>
      <c r="F16">
        <v>44966</v>
      </c>
      <c r="G16">
        <v>144538.118055895</v>
      </c>
      <c r="I16" s="31"/>
      <c r="K16">
        <v>75327</v>
      </c>
      <c r="L16">
        <v>196491.17970391401</v>
      </c>
      <c r="O16">
        <v>7547</v>
      </c>
      <c r="P16" s="30">
        <v>102436.432684321</v>
      </c>
      <c r="Q16" s="31">
        <f>P16</f>
        <v>102436.432684321</v>
      </c>
      <c r="S16">
        <v>7547</v>
      </c>
      <c r="T16">
        <v>102436.432684321</v>
      </c>
      <c r="V16" s="30"/>
    </row>
    <row r="17" spans="1:22" x14ac:dyDescent="0.3">
      <c r="F17">
        <v>53286</v>
      </c>
      <c r="G17">
        <v>122570.694386085</v>
      </c>
      <c r="H17" s="31">
        <f>G17+G18</f>
        <v>265254.17746860802</v>
      </c>
      <c r="I17" s="31"/>
      <c r="K17">
        <v>84766</v>
      </c>
      <c r="L17">
        <v>170997.12645966699</v>
      </c>
      <c r="O17">
        <v>11726</v>
      </c>
      <c r="P17" s="30">
        <v>70937.338466800196</v>
      </c>
      <c r="Q17" s="31">
        <f>P17+Q18</f>
        <v>70937.338466800196</v>
      </c>
      <c r="S17">
        <v>11726</v>
      </c>
      <c r="T17">
        <v>70937.338466800196</v>
      </c>
    </row>
    <row r="18" spans="1:22" x14ac:dyDescent="0.3">
      <c r="A18">
        <v>75327</v>
      </c>
      <c r="C18" s="30">
        <v>97320.081753554507</v>
      </c>
      <c r="D18" s="30"/>
      <c r="F18">
        <v>53286</v>
      </c>
      <c r="G18">
        <v>142683.48308252299</v>
      </c>
      <c r="I18" s="31"/>
      <c r="K18">
        <v>89699</v>
      </c>
      <c r="L18">
        <v>183676.32019348201</v>
      </c>
      <c r="O18">
        <v>11726</v>
      </c>
      <c r="P18" s="30">
        <v>102436.432684321</v>
      </c>
      <c r="S18">
        <v>17951</v>
      </c>
      <c r="T18">
        <v>84899.383700591206</v>
      </c>
      <c r="V18" s="30"/>
    </row>
    <row r="19" spans="1:22" x14ac:dyDescent="0.3">
      <c r="A19">
        <v>84766</v>
      </c>
      <c r="C19" s="30">
        <v>97320.081753554507</v>
      </c>
      <c r="D19" s="30"/>
      <c r="F19">
        <v>61494</v>
      </c>
      <c r="G19" s="30">
        <v>97230.570955684801</v>
      </c>
      <c r="H19" s="31">
        <f>G19+G20</f>
        <v>219801.26534176979</v>
      </c>
      <c r="I19" s="31"/>
      <c r="K19">
        <v>95601</v>
      </c>
      <c r="L19">
        <v>177754.372081888</v>
      </c>
      <c r="O19">
        <v>17951</v>
      </c>
      <c r="P19" s="30">
        <v>84899.383700591206</v>
      </c>
      <c r="Q19" s="31">
        <f>P19+Q20</f>
        <v>84899.383700591206</v>
      </c>
      <c r="S19">
        <v>23194</v>
      </c>
      <c r="T19">
        <v>84899.383700591206</v>
      </c>
      <c r="V19" s="30"/>
    </row>
    <row r="20" spans="1:22" x14ac:dyDescent="0.3">
      <c r="A20">
        <v>106073</v>
      </c>
      <c r="C20" s="30">
        <v>97320.081753554507</v>
      </c>
      <c r="D20" s="30"/>
      <c r="F20">
        <v>61494</v>
      </c>
      <c r="G20">
        <v>122570.694386085</v>
      </c>
      <c r="I20" s="31"/>
      <c r="K20">
        <v>99676</v>
      </c>
      <c r="L20">
        <v>67755.096594518007</v>
      </c>
      <c r="O20">
        <v>17951</v>
      </c>
      <c r="P20" s="30">
        <v>70937.338466800196</v>
      </c>
      <c r="S20">
        <v>26935</v>
      </c>
      <c r="T20">
        <v>84899.383700591206</v>
      </c>
    </row>
    <row r="21" spans="1:22" x14ac:dyDescent="0.3">
      <c r="A21">
        <v>106074</v>
      </c>
      <c r="C21" s="30">
        <v>97320.081753554507</v>
      </c>
      <c r="D21" s="30"/>
      <c r="F21">
        <v>69565</v>
      </c>
      <c r="G21" s="30">
        <v>99171.097950359093</v>
      </c>
      <c r="H21" s="31">
        <f>G21+G22</f>
        <v>196401.66890604389</v>
      </c>
      <c r="I21" s="31"/>
      <c r="K21">
        <v>100853</v>
      </c>
      <c r="L21">
        <v>67755.096594518007</v>
      </c>
      <c r="O21">
        <v>23194</v>
      </c>
      <c r="P21" s="30">
        <v>84899.383700591206</v>
      </c>
      <c r="Q21" s="31">
        <f>P21</f>
        <v>84899.383700591206</v>
      </c>
      <c r="S21">
        <v>29095</v>
      </c>
      <c r="T21">
        <v>97176.245370596604</v>
      </c>
      <c r="V21" s="30"/>
    </row>
    <row r="22" spans="1:22" x14ac:dyDescent="0.3">
      <c r="C22" s="30"/>
      <c r="D22" s="30"/>
      <c r="F22">
        <v>69565</v>
      </c>
      <c r="G22" s="30">
        <v>97230.570955684801</v>
      </c>
      <c r="I22" s="31"/>
      <c r="K22">
        <v>106047</v>
      </c>
      <c r="L22">
        <v>282726.397627889</v>
      </c>
      <c r="O22">
        <v>26935</v>
      </c>
      <c r="P22" s="30">
        <v>84899.383700591206</v>
      </c>
      <c r="Q22" s="31">
        <f>P22</f>
        <v>84899.383700591206</v>
      </c>
      <c r="S22">
        <v>37082</v>
      </c>
      <c r="T22">
        <v>97176.245370596604</v>
      </c>
      <c r="V22" s="30"/>
    </row>
    <row r="23" spans="1:22" x14ac:dyDescent="0.3">
      <c r="A23">
        <v>69565</v>
      </c>
      <c r="C23" s="30">
        <v>99171.097950359093</v>
      </c>
      <c r="D23" s="30"/>
      <c r="F23">
        <v>75327</v>
      </c>
      <c r="G23" s="30">
        <v>97320.081753554507</v>
      </c>
      <c r="H23" s="31">
        <f>G23+G24</f>
        <v>196491.1797039136</v>
      </c>
      <c r="I23" s="31"/>
      <c r="K23">
        <v>106048</v>
      </c>
      <c r="L23">
        <v>283485.430021498</v>
      </c>
      <c r="O23">
        <v>29095</v>
      </c>
      <c r="P23" s="30">
        <v>97176.245370596604</v>
      </c>
      <c r="Q23" s="31">
        <f>P23</f>
        <v>97176.245370596604</v>
      </c>
      <c r="S23">
        <v>43162</v>
      </c>
      <c r="T23">
        <v>100256.349870523</v>
      </c>
    </row>
    <row r="24" spans="1:22" x14ac:dyDescent="0.3">
      <c r="A24">
        <v>75327</v>
      </c>
      <c r="C24" s="30">
        <v>99171.097950359093</v>
      </c>
      <c r="D24" s="30"/>
      <c r="F24">
        <v>75327</v>
      </c>
      <c r="G24" s="30">
        <v>99171.097950359093</v>
      </c>
      <c r="I24" s="31"/>
      <c r="K24">
        <v>106049</v>
      </c>
      <c r="L24">
        <v>221342.61252259699</v>
      </c>
      <c r="O24">
        <v>37082</v>
      </c>
      <c r="P24" s="30">
        <v>97176.245370596604</v>
      </c>
      <c r="Q24" s="31">
        <f>P24</f>
        <v>97176.245370596604</v>
      </c>
      <c r="S24">
        <v>53652</v>
      </c>
      <c r="T24">
        <v>120805.570210583</v>
      </c>
      <c r="V24" s="30"/>
    </row>
    <row r="25" spans="1:22" x14ac:dyDescent="0.3">
      <c r="A25">
        <v>106074</v>
      </c>
      <c r="C25" s="30">
        <v>99171.097950359093</v>
      </c>
      <c r="D25" s="30"/>
      <c r="F25">
        <v>84766</v>
      </c>
      <c r="G25" s="30">
        <v>73677.044706112298</v>
      </c>
      <c r="H25" s="31">
        <f>G25+G26</f>
        <v>170997.12645966682</v>
      </c>
      <c r="I25" s="31"/>
      <c r="K25">
        <v>106051</v>
      </c>
      <c r="L25">
        <v>122570.694386085</v>
      </c>
      <c r="O25">
        <v>43162</v>
      </c>
      <c r="P25" s="30">
        <v>100256.349870523</v>
      </c>
      <c r="Q25" s="31">
        <f>P25+Q26</f>
        <v>100256.349870523</v>
      </c>
      <c r="S25">
        <v>61758</v>
      </c>
      <c r="T25">
        <v>128626.90869448399</v>
      </c>
    </row>
    <row r="26" spans="1:22" x14ac:dyDescent="0.3">
      <c r="A26">
        <v>106075</v>
      </c>
      <c r="C26" s="30">
        <v>99171.097950359093</v>
      </c>
      <c r="D26" s="30"/>
      <c r="F26">
        <v>84766</v>
      </c>
      <c r="G26" s="30">
        <v>97320.081753554507</v>
      </c>
      <c r="I26" s="31"/>
      <c r="K26">
        <v>106052</v>
      </c>
      <c r="L26">
        <v>265254.17746860802</v>
      </c>
      <c r="O26">
        <v>43162</v>
      </c>
      <c r="P26" s="30">
        <v>97176.245370596604</v>
      </c>
      <c r="S26">
        <v>69833</v>
      </c>
      <c r="T26">
        <v>130456.451885963</v>
      </c>
      <c r="V26" s="30"/>
    </row>
    <row r="27" spans="1:22" x14ac:dyDescent="0.3">
      <c r="F27">
        <v>89699</v>
      </c>
      <c r="G27" s="30">
        <v>109999.27548737</v>
      </c>
      <c r="H27" s="31">
        <f>G27+G28</f>
        <v>183676.3201934823</v>
      </c>
      <c r="I27" s="31"/>
      <c r="K27">
        <v>106053</v>
      </c>
      <c r="L27">
        <v>287221.60113841802</v>
      </c>
      <c r="O27">
        <v>53652</v>
      </c>
      <c r="P27" s="30">
        <v>120805.570210583</v>
      </c>
      <c r="Q27" s="31">
        <f>P27+Q28</f>
        <v>120805.570210583</v>
      </c>
      <c r="S27">
        <v>75558</v>
      </c>
      <c r="T27">
        <v>128336.903295549</v>
      </c>
    </row>
    <row r="28" spans="1:22" x14ac:dyDescent="0.3">
      <c r="A28">
        <v>61494</v>
      </c>
      <c r="C28" s="30">
        <v>97230.570955684801</v>
      </c>
      <c r="D28" s="30"/>
      <c r="F28">
        <v>89699</v>
      </c>
      <c r="G28" s="30">
        <v>73677.044706112298</v>
      </c>
      <c r="I28" s="31"/>
      <c r="K28">
        <v>106054</v>
      </c>
      <c r="L28">
        <v>109999.27548737</v>
      </c>
      <c r="O28">
        <v>53652</v>
      </c>
      <c r="P28" s="30">
        <v>100256.349870523</v>
      </c>
      <c r="S28">
        <v>85002</v>
      </c>
      <c r="T28">
        <v>129498.734279572</v>
      </c>
    </row>
    <row r="29" spans="1:22" x14ac:dyDescent="0.3">
      <c r="A29">
        <v>69565</v>
      </c>
      <c r="C29" s="30">
        <v>97230.570955684801</v>
      </c>
      <c r="D29" s="30"/>
      <c r="F29" s="29">
        <v>95601</v>
      </c>
      <c r="G29" s="30">
        <v>67755.096594518007</v>
      </c>
      <c r="H29" s="31">
        <f>G29+G30</f>
        <v>177754.37208188802</v>
      </c>
      <c r="I29" s="31"/>
      <c r="K29">
        <v>106059</v>
      </c>
      <c r="L29">
        <v>177754.372081888</v>
      </c>
      <c r="O29">
        <v>61758</v>
      </c>
      <c r="P29" s="30">
        <v>128626.90869448399</v>
      </c>
      <c r="Q29" s="31">
        <f>P29+Q30</f>
        <v>128626.90869448399</v>
      </c>
      <c r="S29">
        <v>91398</v>
      </c>
      <c r="T29">
        <v>92849.970024918206</v>
      </c>
    </row>
    <row r="30" spans="1:22" x14ac:dyDescent="0.3">
      <c r="A30">
        <v>106075</v>
      </c>
      <c r="C30" s="30">
        <v>97230.570955684801</v>
      </c>
      <c r="D30" s="30"/>
      <c r="F30">
        <v>95601</v>
      </c>
      <c r="G30" s="30">
        <v>109999.27548737</v>
      </c>
      <c r="I30" s="31"/>
      <c r="K30">
        <v>106061</v>
      </c>
      <c r="L30">
        <v>208046.879916451</v>
      </c>
      <c r="O30">
        <v>61758</v>
      </c>
      <c r="P30" s="30">
        <v>120805.570210583</v>
      </c>
      <c r="S30">
        <v>96122</v>
      </c>
      <c r="T30">
        <v>66324.733216885696</v>
      </c>
    </row>
    <row r="31" spans="1:22" x14ac:dyDescent="0.3">
      <c r="A31">
        <v>106076</v>
      </c>
      <c r="C31" s="30">
        <v>97230.570955684801</v>
      </c>
      <c r="D31" s="30"/>
      <c r="F31" s="29">
        <v>99676</v>
      </c>
      <c r="G31">
        <v>67755.096594518007</v>
      </c>
      <c r="H31" s="31">
        <f>G31</f>
        <v>67755.096594518007</v>
      </c>
      <c r="K31">
        <v>106062</v>
      </c>
      <c r="L31">
        <v>217008.21450139201</v>
      </c>
      <c r="O31">
        <v>69833</v>
      </c>
      <c r="P31" s="30">
        <v>130456.451885963</v>
      </c>
      <c r="Q31" s="31">
        <f>P31+Q32</f>
        <v>130456.451885963</v>
      </c>
      <c r="S31">
        <v>100853</v>
      </c>
      <c r="T31">
        <v>66324.733216885696</v>
      </c>
    </row>
    <row r="32" spans="1:22" x14ac:dyDescent="0.3">
      <c r="F32" s="29">
        <v>100853</v>
      </c>
      <c r="G32">
        <v>67755.096594518007</v>
      </c>
      <c r="H32" s="31">
        <f>G32</f>
        <v>67755.096594518007</v>
      </c>
      <c r="K32">
        <v>106072</v>
      </c>
      <c r="L32">
        <v>183676.32019348201</v>
      </c>
      <c r="O32">
        <v>69833</v>
      </c>
      <c r="P32" s="30">
        <v>128626.90869448399</v>
      </c>
      <c r="S32">
        <v>101412</v>
      </c>
      <c r="T32">
        <v>66324.733216885696</v>
      </c>
    </row>
    <row r="33" spans="1:20" x14ac:dyDescent="0.3">
      <c r="A33">
        <v>53286</v>
      </c>
      <c r="C33">
        <v>122570.694386085</v>
      </c>
      <c r="F33">
        <v>106047</v>
      </c>
      <c r="G33">
        <v>144538.118055895</v>
      </c>
      <c r="H33" s="31">
        <f>G33+G34</f>
        <v>282726.397627889</v>
      </c>
      <c r="I33" s="31"/>
      <c r="K33">
        <v>106073</v>
      </c>
      <c r="L33">
        <v>170997.12645966699</v>
      </c>
      <c r="O33">
        <v>75558</v>
      </c>
      <c r="P33" s="30">
        <v>128336.903295549</v>
      </c>
      <c r="Q33" s="31">
        <f>P33+Q34</f>
        <v>128336.903295549</v>
      </c>
      <c r="S33">
        <v>106051</v>
      </c>
      <c r="T33">
        <v>128626.90869448399</v>
      </c>
    </row>
    <row r="34" spans="1:20" x14ac:dyDescent="0.3">
      <c r="A34">
        <v>106052</v>
      </c>
      <c r="C34">
        <v>122570.694386085</v>
      </c>
      <c r="F34">
        <v>106047</v>
      </c>
      <c r="G34">
        <v>138188.279571994</v>
      </c>
      <c r="I34" s="31"/>
      <c r="K34">
        <v>106074</v>
      </c>
      <c r="L34">
        <v>196491.17970391401</v>
      </c>
      <c r="O34">
        <v>75558</v>
      </c>
      <c r="P34" s="30">
        <v>130456.451885963</v>
      </c>
      <c r="S34">
        <v>106052</v>
      </c>
      <c r="T34">
        <v>120805.570210583</v>
      </c>
    </row>
    <row r="35" spans="1:20" x14ac:dyDescent="0.3">
      <c r="A35">
        <v>106051</v>
      </c>
      <c r="C35">
        <v>122570.694386085</v>
      </c>
      <c r="F35">
        <v>106048</v>
      </c>
      <c r="G35">
        <v>138188.279571994</v>
      </c>
      <c r="H35" s="31">
        <f>G35+G36</f>
        <v>283485.430021498</v>
      </c>
      <c r="I35" s="31"/>
      <c r="K35">
        <v>106075</v>
      </c>
      <c r="L35">
        <v>196401.66890604401</v>
      </c>
      <c r="O35">
        <v>85002</v>
      </c>
      <c r="P35" s="30">
        <v>129498.734279572</v>
      </c>
      <c r="Q35" s="31">
        <f>P35+Q36</f>
        <v>129498.734279572</v>
      </c>
      <c r="S35">
        <v>106054</v>
      </c>
      <c r="T35">
        <v>92849.970024918206</v>
      </c>
    </row>
    <row r="36" spans="1:20" x14ac:dyDescent="0.3">
      <c r="A36">
        <v>61494</v>
      </c>
      <c r="C36">
        <v>122570.694386085</v>
      </c>
      <c r="F36">
        <v>106048</v>
      </c>
      <c r="G36">
        <v>145297.150449504</v>
      </c>
      <c r="I36" s="31"/>
      <c r="K36">
        <v>106076</v>
      </c>
      <c r="L36">
        <v>97230.570955684801</v>
      </c>
      <c r="O36">
        <v>85002</v>
      </c>
      <c r="P36" s="30">
        <v>128336.903295549</v>
      </c>
      <c r="S36">
        <v>106055</v>
      </c>
      <c r="T36">
        <v>129498.734279572</v>
      </c>
    </row>
    <row r="37" spans="1:20" x14ac:dyDescent="0.3">
      <c r="F37">
        <v>106049</v>
      </c>
      <c r="G37">
        <v>145297.150449504</v>
      </c>
      <c r="H37" s="31">
        <f>G37+G38</f>
        <v>221342.61252259731</v>
      </c>
      <c r="I37" s="31"/>
      <c r="O37">
        <v>91398</v>
      </c>
      <c r="P37" s="30">
        <v>92849.970024918206</v>
      </c>
      <c r="Q37" s="31">
        <f>P37+Q38</f>
        <v>92849.970024918206</v>
      </c>
      <c r="S37">
        <v>106056</v>
      </c>
      <c r="T37">
        <v>128336.903295549</v>
      </c>
    </row>
    <row r="38" spans="1:20" x14ac:dyDescent="0.3">
      <c r="A38">
        <v>44966</v>
      </c>
      <c r="C38">
        <v>142683.48308252299</v>
      </c>
      <c r="F38">
        <v>106049</v>
      </c>
      <c r="G38">
        <v>76045.462073093295</v>
      </c>
      <c r="I38" s="31"/>
      <c r="O38">
        <v>91398</v>
      </c>
      <c r="P38" s="30">
        <v>129498.734279572</v>
      </c>
      <c r="S38">
        <v>106057</v>
      </c>
      <c r="T38">
        <v>130456.451885963</v>
      </c>
    </row>
    <row r="39" spans="1:20" x14ac:dyDescent="0.3">
      <c r="A39">
        <v>53286</v>
      </c>
      <c r="C39">
        <v>142683.48308252299</v>
      </c>
      <c r="F39">
        <v>106051</v>
      </c>
      <c r="G39">
        <v>122570.694386085</v>
      </c>
      <c r="H39" s="31">
        <f>G39</f>
        <v>122570.694386085</v>
      </c>
      <c r="O39">
        <v>96122</v>
      </c>
      <c r="P39" s="30">
        <v>66324.733216885696</v>
      </c>
      <c r="Q39" s="31">
        <f>P39+Q40</f>
        <v>66324.733216885696</v>
      </c>
      <c r="S39">
        <v>106059</v>
      </c>
      <c r="T39">
        <v>66324.733216885696</v>
      </c>
    </row>
    <row r="40" spans="1:20" x14ac:dyDescent="0.3">
      <c r="A40">
        <v>106052</v>
      </c>
      <c r="C40">
        <v>142683.48308252299</v>
      </c>
      <c r="F40">
        <v>106052</v>
      </c>
      <c r="G40">
        <v>122570.694386085</v>
      </c>
      <c r="H40" s="31">
        <f>G40+G41</f>
        <v>265254.17746860802</v>
      </c>
      <c r="I40" s="31"/>
      <c r="O40">
        <v>96122</v>
      </c>
      <c r="P40" s="30">
        <v>92849.970024918206</v>
      </c>
      <c r="S40">
        <v>106061</v>
      </c>
      <c r="T40">
        <v>70937.338466800196</v>
      </c>
    </row>
    <row r="41" spans="1:20" x14ac:dyDescent="0.3">
      <c r="A41">
        <v>106053</v>
      </c>
      <c r="C41">
        <v>142683.48308252299</v>
      </c>
      <c r="F41">
        <v>106052</v>
      </c>
      <c r="G41">
        <v>142683.48308252299</v>
      </c>
      <c r="H41" s="31"/>
      <c r="I41" s="31"/>
      <c r="O41">
        <v>100853</v>
      </c>
      <c r="P41" s="30">
        <v>66324.733216885696</v>
      </c>
      <c r="Q41" s="31">
        <f>P41</f>
        <v>66324.733216885696</v>
      </c>
      <c r="S41">
        <v>106064</v>
      </c>
      <c r="T41">
        <v>70937.338466800196</v>
      </c>
    </row>
    <row r="42" spans="1:20" x14ac:dyDescent="0.3">
      <c r="F42">
        <v>106053</v>
      </c>
      <c r="G42">
        <v>142683.48308252299</v>
      </c>
      <c r="H42" s="31">
        <f>G42+G43</f>
        <v>287221.60113841796</v>
      </c>
      <c r="I42" s="31"/>
      <c r="O42">
        <v>101412</v>
      </c>
      <c r="P42" s="30">
        <v>66324.733216885696</v>
      </c>
      <c r="Q42" s="31">
        <f>P42</f>
        <v>66324.733216885696</v>
      </c>
      <c r="S42">
        <v>106067</v>
      </c>
      <c r="T42">
        <v>84899.383700591206</v>
      </c>
    </row>
    <row r="43" spans="1:20" x14ac:dyDescent="0.3">
      <c r="A43">
        <v>36800</v>
      </c>
      <c r="C43">
        <v>144538.118055895</v>
      </c>
      <c r="F43">
        <v>106053</v>
      </c>
      <c r="G43">
        <v>144538.118055895</v>
      </c>
      <c r="I43" s="31"/>
      <c r="O43">
        <v>106051</v>
      </c>
      <c r="P43" s="30">
        <v>128626.90869448399</v>
      </c>
      <c r="Q43" s="31">
        <f>P43+Q44</f>
        <v>128626.90869448399</v>
      </c>
      <c r="S43">
        <v>106077</v>
      </c>
      <c r="T43">
        <v>100256.349870523</v>
      </c>
    </row>
    <row r="44" spans="1:20" x14ac:dyDescent="0.3">
      <c r="A44">
        <v>44966</v>
      </c>
      <c r="C44">
        <v>144538.118055895</v>
      </c>
      <c r="F44">
        <v>106054</v>
      </c>
      <c r="G44" s="30">
        <v>109999.27548737</v>
      </c>
      <c r="H44" s="31">
        <f>G44</f>
        <v>109999.27548737</v>
      </c>
      <c r="O44">
        <v>106051</v>
      </c>
      <c r="P44" s="30">
        <v>120805.570210583</v>
      </c>
      <c r="S44">
        <v>106078</v>
      </c>
      <c r="T44">
        <v>100256.349870523</v>
      </c>
    </row>
    <row r="45" spans="1:20" x14ac:dyDescent="0.3">
      <c r="A45">
        <v>106053</v>
      </c>
      <c r="C45">
        <v>144538.118055895</v>
      </c>
      <c r="F45" s="29">
        <v>106059</v>
      </c>
      <c r="G45">
        <v>67755.096594518007</v>
      </c>
      <c r="H45" s="31">
        <f>G45+G46</f>
        <v>177754.37208188802</v>
      </c>
      <c r="I45" s="31"/>
      <c r="O45">
        <v>106052</v>
      </c>
      <c r="P45" s="30">
        <v>120805.570210583</v>
      </c>
      <c r="Q45" s="31">
        <f>P45+Q46</f>
        <v>120805.570210583</v>
      </c>
      <c r="S45">
        <v>106079</v>
      </c>
      <c r="T45">
        <v>97176.245370596604</v>
      </c>
    </row>
    <row r="46" spans="1:20" x14ac:dyDescent="0.3">
      <c r="A46">
        <v>106047</v>
      </c>
      <c r="C46">
        <v>144538.118055895</v>
      </c>
      <c r="F46">
        <v>106059</v>
      </c>
      <c r="G46" s="30">
        <v>109999.27548737</v>
      </c>
      <c r="I46" s="31"/>
      <c r="O46">
        <v>106052</v>
      </c>
      <c r="P46" s="30">
        <v>100256.349870523</v>
      </c>
      <c r="S46">
        <v>106080</v>
      </c>
      <c r="T46">
        <v>97176.245370596604</v>
      </c>
    </row>
    <row r="47" spans="1:20" x14ac:dyDescent="0.3">
      <c r="F47">
        <v>106061</v>
      </c>
      <c r="G47">
        <v>76045.462073093295</v>
      </c>
      <c r="H47" s="31">
        <f>G47+G48</f>
        <v>208046.87991645129</v>
      </c>
      <c r="I47" s="31"/>
      <c r="O47">
        <v>106054</v>
      </c>
      <c r="P47" s="30">
        <v>92849.970024918206</v>
      </c>
      <c r="Q47" s="31">
        <f>P47+Q48</f>
        <v>92849.970024918206</v>
      </c>
    </row>
    <row r="48" spans="1:20" x14ac:dyDescent="0.3">
      <c r="A48">
        <v>28112</v>
      </c>
      <c r="C48">
        <v>138188.279571994</v>
      </c>
      <c r="F48">
        <v>106061</v>
      </c>
      <c r="G48" s="30">
        <v>132001.41784335801</v>
      </c>
      <c r="I48" s="31"/>
      <c r="O48">
        <v>106054</v>
      </c>
      <c r="P48" s="30">
        <v>129498.734279572</v>
      </c>
    </row>
    <row r="49" spans="1:17" x14ac:dyDescent="0.3">
      <c r="A49">
        <v>36800</v>
      </c>
      <c r="C49">
        <v>138188.279571994</v>
      </c>
      <c r="F49">
        <v>106062</v>
      </c>
      <c r="G49" s="30">
        <v>132001.41784335801</v>
      </c>
      <c r="H49" s="31">
        <f>G49+G50</f>
        <v>217008.21450139291</v>
      </c>
      <c r="I49" s="31"/>
      <c r="O49">
        <v>106055</v>
      </c>
      <c r="P49" s="30">
        <v>129498.734279572</v>
      </c>
      <c r="Q49" s="31">
        <f>P49+Q50</f>
        <v>129498.734279572</v>
      </c>
    </row>
    <row r="50" spans="1:17" x14ac:dyDescent="0.3">
      <c r="A50">
        <v>106047</v>
      </c>
      <c r="C50">
        <v>138188.279571994</v>
      </c>
      <c r="F50">
        <v>106062</v>
      </c>
      <c r="G50" s="30">
        <v>85006.796658034902</v>
      </c>
      <c r="I50" s="31"/>
      <c r="O50">
        <v>106055</v>
      </c>
      <c r="P50" s="30">
        <v>128336.903295549</v>
      </c>
    </row>
    <row r="51" spans="1:17" x14ac:dyDescent="0.3">
      <c r="A51">
        <v>106048</v>
      </c>
      <c r="C51">
        <v>138188.279571994</v>
      </c>
      <c r="F51">
        <v>106072</v>
      </c>
      <c r="G51" s="30">
        <v>109999.27548737</v>
      </c>
      <c r="H51" s="31">
        <f>G51+G52</f>
        <v>183676.3201934823</v>
      </c>
      <c r="I51" s="31"/>
      <c r="O51">
        <v>106056</v>
      </c>
      <c r="P51" s="30">
        <v>128336.903295549</v>
      </c>
      <c r="Q51" s="31">
        <f>P51+Q52</f>
        <v>128336.903295549</v>
      </c>
    </row>
    <row r="52" spans="1:17" x14ac:dyDescent="0.3">
      <c r="F52">
        <v>106072</v>
      </c>
      <c r="G52" s="30">
        <v>73677.044706112298</v>
      </c>
      <c r="I52" s="31"/>
      <c r="O52">
        <v>106056</v>
      </c>
      <c r="P52" s="30">
        <v>130456.451885963</v>
      </c>
    </row>
    <row r="53" spans="1:17" x14ac:dyDescent="0.3">
      <c r="A53">
        <v>20248</v>
      </c>
      <c r="C53">
        <v>145297.150449504</v>
      </c>
      <c r="F53">
        <v>106073</v>
      </c>
      <c r="G53" s="30">
        <v>73677.044706112298</v>
      </c>
      <c r="H53" s="31">
        <f>G53+G54</f>
        <v>170997.12645966682</v>
      </c>
      <c r="I53" s="31"/>
      <c r="O53">
        <v>106057</v>
      </c>
      <c r="P53" s="30">
        <v>130456.451885963</v>
      </c>
      <c r="Q53" s="31">
        <f>P53+Q54</f>
        <v>130456.451885963</v>
      </c>
    </row>
    <row r="54" spans="1:17" x14ac:dyDescent="0.3">
      <c r="A54">
        <v>28112</v>
      </c>
      <c r="C54">
        <v>145297.150449504</v>
      </c>
      <c r="F54">
        <v>106073</v>
      </c>
      <c r="G54" s="30">
        <v>97320.081753554507</v>
      </c>
      <c r="I54" s="31"/>
      <c r="O54">
        <v>106057</v>
      </c>
      <c r="P54" s="30">
        <v>128626.90869448399</v>
      </c>
    </row>
    <row r="55" spans="1:17" x14ac:dyDescent="0.3">
      <c r="A55">
        <v>106048</v>
      </c>
      <c r="C55">
        <v>145297.150449504</v>
      </c>
      <c r="F55">
        <v>106074</v>
      </c>
      <c r="G55" s="30">
        <v>97320.081753554507</v>
      </c>
      <c r="H55" s="31">
        <f>G55+G56</f>
        <v>196491.1797039136</v>
      </c>
      <c r="I55" s="31"/>
      <c r="O55">
        <v>106059</v>
      </c>
      <c r="P55" s="30">
        <v>66324.733216885696</v>
      </c>
      <c r="Q55" s="31">
        <f>P55+Q56</f>
        <v>66324.733216885696</v>
      </c>
    </row>
    <row r="56" spans="1:17" x14ac:dyDescent="0.3">
      <c r="A56">
        <v>106049</v>
      </c>
      <c r="C56">
        <v>145297.150449504</v>
      </c>
      <c r="F56">
        <v>106074</v>
      </c>
      <c r="G56" s="30">
        <v>99171.097950359093</v>
      </c>
      <c r="I56" s="31"/>
      <c r="O56">
        <v>106059</v>
      </c>
      <c r="P56" s="30">
        <v>92849.970024918206</v>
      </c>
    </row>
    <row r="57" spans="1:17" x14ac:dyDescent="0.3">
      <c r="F57">
        <v>106075</v>
      </c>
      <c r="G57" s="30">
        <v>99171.097950359093</v>
      </c>
      <c r="H57" s="31">
        <f>G57+G58</f>
        <v>196401.66890604389</v>
      </c>
      <c r="I57" s="31"/>
      <c r="O57">
        <v>106061</v>
      </c>
      <c r="P57" s="30">
        <v>70937.338466800196</v>
      </c>
      <c r="Q57" s="31">
        <f>P57</f>
        <v>70937.338466800196</v>
      </c>
    </row>
    <row r="58" spans="1:17" x14ac:dyDescent="0.3">
      <c r="A58">
        <v>106061</v>
      </c>
      <c r="C58">
        <v>76045.462073093295</v>
      </c>
      <c r="F58">
        <v>106075</v>
      </c>
      <c r="G58" s="30">
        <v>97230.570955684801</v>
      </c>
      <c r="I58" s="31"/>
      <c r="O58">
        <v>106064</v>
      </c>
      <c r="P58" s="30">
        <v>70937.338466800196</v>
      </c>
      <c r="Q58" s="31">
        <f>P58+Q59</f>
        <v>70937.338466800196</v>
      </c>
    </row>
    <row r="59" spans="1:17" x14ac:dyDescent="0.3">
      <c r="A59">
        <v>15851</v>
      </c>
      <c r="C59">
        <v>76045.462073093295</v>
      </c>
      <c r="F59">
        <v>106076</v>
      </c>
      <c r="G59" s="30">
        <v>97230.570955684801</v>
      </c>
      <c r="H59" s="31">
        <f>G59</f>
        <v>97230.570955684801</v>
      </c>
      <c r="O59">
        <v>106064</v>
      </c>
      <c r="P59" s="30">
        <v>102436.432684321</v>
      </c>
    </row>
    <row r="60" spans="1:17" x14ac:dyDescent="0.3">
      <c r="A60">
        <v>19564</v>
      </c>
      <c r="C60">
        <v>76045.462073093295</v>
      </c>
      <c r="F60" s="29"/>
      <c r="O60">
        <v>106067</v>
      </c>
      <c r="P60" s="30">
        <v>84899.383700591206</v>
      </c>
      <c r="Q60" s="31">
        <f>P60+Q61</f>
        <v>84899.383700591206</v>
      </c>
    </row>
    <row r="61" spans="1:17" x14ac:dyDescent="0.3">
      <c r="A61">
        <v>106049</v>
      </c>
      <c r="C61">
        <v>76045.462073093295</v>
      </c>
      <c r="O61">
        <v>106067</v>
      </c>
      <c r="P61" s="30">
        <v>70937.338466800196</v>
      </c>
    </row>
    <row r="62" spans="1:17" x14ac:dyDescent="0.3">
      <c r="O62">
        <v>106077</v>
      </c>
      <c r="P62" s="30">
        <v>100256.349870523</v>
      </c>
      <c r="Q62" s="31">
        <f>P62</f>
        <v>100256.349870523</v>
      </c>
    </row>
    <row r="63" spans="1:17" x14ac:dyDescent="0.3">
      <c r="A63">
        <v>6729</v>
      </c>
      <c r="C63" s="30">
        <v>132001.41784335801</v>
      </c>
      <c r="D63" s="30"/>
      <c r="G63" s="30"/>
      <c r="O63">
        <v>106078</v>
      </c>
      <c r="P63" s="30">
        <v>100256.349870523</v>
      </c>
      <c r="Q63" s="31">
        <f>P63+Q64</f>
        <v>100256.349870523</v>
      </c>
    </row>
    <row r="64" spans="1:17" x14ac:dyDescent="0.3">
      <c r="A64">
        <v>15773</v>
      </c>
      <c r="C64" s="30">
        <v>132001.41784335801</v>
      </c>
      <c r="D64" s="30"/>
      <c r="O64">
        <v>106078</v>
      </c>
      <c r="P64" s="30">
        <v>97176.245370596604</v>
      </c>
    </row>
    <row r="65" spans="1:17" x14ac:dyDescent="0.3">
      <c r="A65">
        <v>106061</v>
      </c>
      <c r="C65" s="30">
        <v>132001.41784335801</v>
      </c>
      <c r="D65" s="30"/>
      <c r="O65">
        <v>106079</v>
      </c>
      <c r="P65" s="30">
        <v>97176.245370596604</v>
      </c>
      <c r="Q65" s="31">
        <f>P65+Q66</f>
        <v>97176.245370596604</v>
      </c>
    </row>
    <row r="66" spans="1:17" x14ac:dyDescent="0.3">
      <c r="A66">
        <v>106062</v>
      </c>
      <c r="C66" s="30">
        <v>132001.41784335801</v>
      </c>
      <c r="D66" s="30"/>
      <c r="O66">
        <v>106079</v>
      </c>
      <c r="P66" s="30">
        <v>84899.383700591206</v>
      </c>
    </row>
    <row r="67" spans="1:17" x14ac:dyDescent="0.3">
      <c r="O67">
        <v>106080</v>
      </c>
      <c r="P67" s="30">
        <v>97176.245370596604</v>
      </c>
      <c r="Q67" s="31">
        <f>P67</f>
        <v>97176.245370596604</v>
      </c>
    </row>
    <row r="68" spans="1:17" x14ac:dyDescent="0.3">
      <c r="A68">
        <v>93</v>
      </c>
      <c r="C68" s="30">
        <v>85006.796658034902</v>
      </c>
      <c r="D68" s="30"/>
    </row>
    <row r="69" spans="1:17" x14ac:dyDescent="0.3">
      <c r="A69">
        <v>106062</v>
      </c>
      <c r="C69" s="30">
        <v>85006.796658034902</v>
      </c>
      <c r="D69" s="30"/>
    </row>
    <row r="70" spans="1:17" x14ac:dyDescent="0.3">
      <c r="A70">
        <v>6729</v>
      </c>
      <c r="C70" s="30">
        <v>85006.796658034902</v>
      </c>
      <c r="D70" s="30"/>
    </row>
    <row r="71" spans="1:17" x14ac:dyDescent="0.3">
      <c r="A71">
        <v>3196</v>
      </c>
      <c r="C71" s="30">
        <v>85006.796658034902</v>
      </c>
      <c r="D71" s="30"/>
    </row>
    <row r="72" spans="1:17" x14ac:dyDescent="0.3">
      <c r="A72">
        <v>36</v>
      </c>
      <c r="C72" s="30">
        <v>85006.796658034902</v>
      </c>
      <c r="D72" s="30"/>
    </row>
    <row r="76" spans="1:17" x14ac:dyDescent="0.3">
      <c r="A76" t="s">
        <v>167</v>
      </c>
      <c r="C76" t="s">
        <v>168</v>
      </c>
      <c r="D76" t="s">
        <v>169</v>
      </c>
      <c r="E76" s="4" t="s">
        <v>170</v>
      </c>
      <c r="F76" s="4" t="s">
        <v>171</v>
      </c>
      <c r="G76" s="4" t="s">
        <v>172</v>
      </c>
      <c r="H76" s="4" t="s">
        <v>173</v>
      </c>
      <c r="I76" s="4" t="s">
        <v>174</v>
      </c>
      <c r="J76" s="4" t="s">
        <v>175</v>
      </c>
      <c r="K76" s="4" t="s">
        <v>176</v>
      </c>
      <c r="L76" s="4" t="s">
        <v>177</v>
      </c>
    </row>
    <row r="77" spans="1:17" x14ac:dyDescent="0.3">
      <c r="A77" s="32" t="s">
        <v>178</v>
      </c>
      <c r="B77" s="33">
        <v>4</v>
      </c>
      <c r="C77" s="10">
        <v>10.4</v>
      </c>
      <c r="D77" s="32">
        <v>25506</v>
      </c>
      <c r="E77" s="34">
        <v>17.226950701128601</v>
      </c>
      <c r="F77" s="7">
        <f t="shared" ref="F77:F102" si="0">E77*9810/B77</f>
        <v>42249.09659451789</v>
      </c>
      <c r="G77">
        <v>95601</v>
      </c>
      <c r="H77">
        <v>99676</v>
      </c>
      <c r="I77">
        <v>100853</v>
      </c>
      <c r="J77">
        <v>106059</v>
      </c>
      <c r="K77" s="35"/>
      <c r="L77" s="32"/>
      <c r="N77">
        <f>B77*F77</f>
        <v>168996.38637807156</v>
      </c>
    </row>
    <row r="78" spans="1:17" x14ac:dyDescent="0.3">
      <c r="A78" s="32" t="s">
        <v>179</v>
      </c>
      <c r="B78" s="33">
        <v>5</v>
      </c>
      <c r="C78" s="10">
        <v>21.1</v>
      </c>
      <c r="D78" s="32">
        <v>41398.199999999997</v>
      </c>
      <c r="E78" s="34">
        <v>34.9648702789857</v>
      </c>
      <c r="F78" s="7">
        <f t="shared" si="0"/>
        <v>68601.075487369933</v>
      </c>
      <c r="G78">
        <v>89699</v>
      </c>
      <c r="H78">
        <v>95601</v>
      </c>
      <c r="I78">
        <v>106054</v>
      </c>
      <c r="J78">
        <v>106059</v>
      </c>
      <c r="K78" s="35">
        <v>106072</v>
      </c>
      <c r="L78" s="32"/>
    </row>
    <row r="79" spans="1:17" x14ac:dyDescent="0.3">
      <c r="A79" s="32" t="s">
        <v>180</v>
      </c>
      <c r="B79" s="33">
        <v>4</v>
      </c>
      <c r="C79" s="10">
        <v>11.3</v>
      </c>
      <c r="D79" s="32">
        <v>27713.25</v>
      </c>
      <c r="E79" s="34">
        <v>18.741608442859199</v>
      </c>
      <c r="F79" s="7">
        <f t="shared" si="0"/>
        <v>45963.794706112189</v>
      </c>
      <c r="G79">
        <v>84766</v>
      </c>
      <c r="H79">
        <v>89699</v>
      </c>
      <c r="I79">
        <v>106072</v>
      </c>
      <c r="J79">
        <v>106073</v>
      </c>
      <c r="K79" s="35"/>
      <c r="L79" s="32"/>
    </row>
    <row r="80" spans="1:17" x14ac:dyDescent="0.3">
      <c r="A80" s="32" t="s">
        <v>181</v>
      </c>
      <c r="B80" s="33">
        <v>4</v>
      </c>
      <c r="C80" s="10">
        <v>14.9</v>
      </c>
      <c r="D80" s="32">
        <v>36542.25</v>
      </c>
      <c r="E80" s="34">
        <v>24.781990521327</v>
      </c>
      <c r="F80" s="7">
        <f t="shared" si="0"/>
        <v>60777.83175355447</v>
      </c>
      <c r="G80">
        <v>75327</v>
      </c>
      <c r="H80">
        <v>84766</v>
      </c>
      <c r="I80">
        <v>106073</v>
      </c>
      <c r="J80">
        <v>106074</v>
      </c>
      <c r="K80" s="35"/>
      <c r="L80" s="32"/>
    </row>
    <row r="81" spans="1:13" x14ac:dyDescent="0.3">
      <c r="A81" s="32" t="s">
        <v>182</v>
      </c>
      <c r="B81" s="33">
        <v>4</v>
      </c>
      <c r="C81" s="10">
        <v>15.6</v>
      </c>
      <c r="D81" s="32">
        <v>38259</v>
      </c>
      <c r="E81" s="34">
        <v>24.836737186690801</v>
      </c>
      <c r="F81" s="7">
        <f t="shared" si="0"/>
        <v>60912.097950359188</v>
      </c>
      <c r="G81">
        <v>69565</v>
      </c>
      <c r="H81">
        <v>75327</v>
      </c>
      <c r="I81">
        <v>106074</v>
      </c>
      <c r="J81">
        <v>106075</v>
      </c>
      <c r="K81" s="35"/>
      <c r="L81" s="32"/>
    </row>
    <row r="82" spans="1:13" x14ac:dyDescent="0.3">
      <c r="A82" s="32" t="s">
        <v>183</v>
      </c>
      <c r="B82" s="33">
        <v>4</v>
      </c>
      <c r="C82" s="10">
        <v>14.9</v>
      </c>
      <c r="D82" s="32">
        <v>36542.25</v>
      </c>
      <c r="E82" s="34">
        <v>24.745492744417799</v>
      </c>
      <c r="F82" s="7">
        <f t="shared" si="0"/>
        <v>60688.320955684649</v>
      </c>
      <c r="G82">
        <v>61494</v>
      </c>
      <c r="H82">
        <v>69565</v>
      </c>
      <c r="I82">
        <v>106075</v>
      </c>
      <c r="J82">
        <v>106076</v>
      </c>
      <c r="K82" s="35"/>
      <c r="L82" s="32"/>
    </row>
    <row r="83" spans="1:13" x14ac:dyDescent="0.3">
      <c r="A83" s="32" t="s">
        <v>184</v>
      </c>
      <c r="B83" s="33">
        <v>4</v>
      </c>
      <c r="C83" s="10">
        <v>18.899999999999999</v>
      </c>
      <c r="D83" s="32">
        <v>46352.25</v>
      </c>
      <c r="E83" s="34">
        <v>31.077857038158999</v>
      </c>
      <c r="F83" s="7">
        <f t="shared" si="0"/>
        <v>76218.444386084942</v>
      </c>
      <c r="G83">
        <v>53286</v>
      </c>
      <c r="H83">
        <v>61494</v>
      </c>
      <c r="I83">
        <v>106051</v>
      </c>
      <c r="J83">
        <v>106052</v>
      </c>
      <c r="K83" s="35"/>
      <c r="L83" s="32"/>
    </row>
    <row r="84" spans="1:13" x14ac:dyDescent="0.3">
      <c r="A84" s="32" t="s">
        <v>185</v>
      </c>
      <c r="B84" s="33">
        <v>4</v>
      </c>
      <c r="C84" s="10">
        <v>21.9</v>
      </c>
      <c r="D84" s="32">
        <v>53709.75</v>
      </c>
      <c r="E84" s="34">
        <v>36.278790247715797</v>
      </c>
      <c r="F84" s="7">
        <f t="shared" si="0"/>
        <v>88973.733082522987</v>
      </c>
      <c r="G84">
        <v>44966</v>
      </c>
      <c r="H84">
        <v>53286</v>
      </c>
      <c r="I84">
        <v>106052</v>
      </c>
      <c r="J84">
        <v>106053</v>
      </c>
      <c r="K84" s="35"/>
      <c r="L84" s="32"/>
    </row>
    <row r="85" spans="1:13" x14ac:dyDescent="0.3">
      <c r="A85" s="32" t="s">
        <v>186</v>
      </c>
      <c r="B85" s="33">
        <v>4</v>
      </c>
      <c r="C85" s="10">
        <v>22.2</v>
      </c>
      <c r="D85" s="32">
        <v>54445.5</v>
      </c>
      <c r="E85" s="34">
        <v>36.735012459080501</v>
      </c>
      <c r="F85" s="7">
        <f t="shared" si="0"/>
        <v>90092.618055894927</v>
      </c>
      <c r="G85">
        <v>36800</v>
      </c>
      <c r="H85">
        <v>44966</v>
      </c>
      <c r="I85">
        <v>106047</v>
      </c>
      <c r="J85">
        <v>106053</v>
      </c>
      <c r="K85" s="35"/>
      <c r="L85" s="32"/>
    </row>
    <row r="86" spans="1:13" x14ac:dyDescent="0.3">
      <c r="A86" s="32" t="s">
        <v>187</v>
      </c>
      <c r="B86" s="33">
        <v>4</v>
      </c>
      <c r="C86" s="10">
        <v>21.6</v>
      </c>
      <c r="D86" s="32">
        <v>52974</v>
      </c>
      <c r="E86" s="34">
        <v>34.745883617530602</v>
      </c>
      <c r="F86" s="7">
        <f t="shared" si="0"/>
        <v>85214.2795719938</v>
      </c>
      <c r="G86">
        <v>28112</v>
      </c>
      <c r="H86">
        <v>36800</v>
      </c>
      <c r="I86">
        <v>106047</v>
      </c>
      <c r="J86">
        <v>106048</v>
      </c>
      <c r="K86" s="35"/>
      <c r="L86" s="32"/>
    </row>
    <row r="87" spans="1:13" x14ac:dyDescent="0.3">
      <c r="A87" s="32" t="s">
        <v>188</v>
      </c>
      <c r="B87" s="33">
        <v>4</v>
      </c>
      <c r="C87" s="10">
        <v>22.4</v>
      </c>
      <c r="D87" s="32">
        <v>54936</v>
      </c>
      <c r="E87" s="34">
        <v>36.844505789807997</v>
      </c>
      <c r="F87" s="7">
        <f t="shared" si="0"/>
        <v>90361.150449504115</v>
      </c>
      <c r="G87">
        <v>20248</v>
      </c>
      <c r="H87">
        <v>28112</v>
      </c>
      <c r="I87">
        <v>106048</v>
      </c>
      <c r="J87">
        <v>106049</v>
      </c>
      <c r="K87" s="35"/>
      <c r="L87" s="32"/>
    </row>
    <row r="88" spans="1:13" x14ac:dyDescent="0.3">
      <c r="A88" s="32" t="s">
        <v>189</v>
      </c>
      <c r="B88" s="33">
        <v>4</v>
      </c>
      <c r="C88" s="10">
        <v>11.7</v>
      </c>
      <c r="D88" s="32">
        <v>28694.25</v>
      </c>
      <c r="E88" s="34">
        <v>19.307323984951399</v>
      </c>
      <c r="F88" s="7">
        <f t="shared" si="0"/>
        <v>47351.212073093309</v>
      </c>
      <c r="G88">
        <v>15851</v>
      </c>
      <c r="H88">
        <v>19564</v>
      </c>
      <c r="I88">
        <v>106049</v>
      </c>
      <c r="J88">
        <v>106061</v>
      </c>
      <c r="K88" s="35"/>
      <c r="L88" s="32"/>
    </row>
    <row r="89" spans="1:13" x14ac:dyDescent="0.3">
      <c r="A89" s="32" t="s">
        <v>190</v>
      </c>
      <c r="B89" s="33">
        <v>4</v>
      </c>
      <c r="C89" s="10">
        <v>20.3</v>
      </c>
      <c r="D89" s="32">
        <v>49785.75</v>
      </c>
      <c r="E89" s="34">
        <v>33.5232080910734</v>
      </c>
      <c r="F89" s="7">
        <f t="shared" si="0"/>
        <v>82215.667843357514</v>
      </c>
      <c r="G89">
        <v>6729</v>
      </c>
      <c r="H89">
        <v>15773</v>
      </c>
      <c r="I89">
        <v>106061</v>
      </c>
      <c r="J89">
        <v>106062</v>
      </c>
      <c r="K89" s="35"/>
      <c r="L89" s="32"/>
    </row>
    <row r="90" spans="1:13" x14ac:dyDescent="0.3">
      <c r="A90" s="32" t="s">
        <v>191</v>
      </c>
      <c r="B90" s="33">
        <v>5</v>
      </c>
      <c r="C90" s="10">
        <v>16.3</v>
      </c>
      <c r="D90" s="32">
        <v>31980.6</v>
      </c>
      <c r="E90" s="34">
        <v>27.026603801240999</v>
      </c>
      <c r="F90" s="7">
        <f t="shared" si="0"/>
        <v>53026.196658034845</v>
      </c>
      <c r="G90">
        <v>36</v>
      </c>
      <c r="H90">
        <v>93</v>
      </c>
      <c r="I90">
        <v>3196</v>
      </c>
      <c r="J90">
        <v>6729</v>
      </c>
      <c r="K90" s="35">
        <v>106062</v>
      </c>
      <c r="L90" s="32"/>
      <c r="M90" s="34">
        <f>SUM(E77:E90)</f>
        <v>400.83683490496878</v>
      </c>
    </row>
    <row r="91" spans="1:13" x14ac:dyDescent="0.3">
      <c r="A91" s="4" t="s">
        <v>192</v>
      </c>
      <c r="B91" s="35">
        <v>4</v>
      </c>
      <c r="C91" s="4">
        <v>10.199999999999999</v>
      </c>
      <c r="D91" s="32">
        <v>25015.5</v>
      </c>
      <c r="E91" s="34">
        <v>16.843724043582299</v>
      </c>
      <c r="F91" s="7">
        <f t="shared" si="0"/>
        <v>41309.233216885586</v>
      </c>
      <c r="G91">
        <v>96122</v>
      </c>
      <c r="H91">
        <v>100853</v>
      </c>
      <c r="I91">
        <v>101412</v>
      </c>
      <c r="J91">
        <v>106059</v>
      </c>
      <c r="K91" s="35"/>
      <c r="L91" s="32"/>
    </row>
    <row r="92" spans="1:13" x14ac:dyDescent="0.3">
      <c r="A92" s="4" t="s">
        <v>193</v>
      </c>
      <c r="B92" s="35">
        <v>4</v>
      </c>
      <c r="C92" s="4">
        <v>14.3</v>
      </c>
      <c r="D92" s="32">
        <v>35070.75</v>
      </c>
      <c r="E92" s="34">
        <v>23.559314994869801</v>
      </c>
      <c r="F92" s="7">
        <f t="shared" si="0"/>
        <v>57779.220024918184</v>
      </c>
      <c r="G92">
        <v>91398</v>
      </c>
      <c r="H92">
        <v>96122</v>
      </c>
      <c r="I92">
        <v>106054</v>
      </c>
      <c r="J92">
        <v>106059</v>
      </c>
      <c r="K92" s="35"/>
      <c r="L92" s="32"/>
    </row>
    <row r="93" spans="1:13" x14ac:dyDescent="0.3">
      <c r="A93" s="4" t="s">
        <v>194</v>
      </c>
      <c r="B93" s="35">
        <v>4</v>
      </c>
      <c r="C93" s="4">
        <v>19.899999999999999</v>
      </c>
      <c r="D93" s="32">
        <v>48804.75</v>
      </c>
      <c r="E93" s="34">
        <v>32.902745883617499</v>
      </c>
      <c r="F93" s="7">
        <f t="shared" si="0"/>
        <v>80693.984279571916</v>
      </c>
      <c r="G93">
        <v>85002</v>
      </c>
      <c r="H93">
        <v>106055</v>
      </c>
      <c r="I93">
        <v>91398</v>
      </c>
      <c r="J93">
        <v>106054</v>
      </c>
      <c r="K93" s="35"/>
      <c r="L93" s="32"/>
    </row>
    <row r="94" spans="1:13" x14ac:dyDescent="0.3">
      <c r="A94" s="4" t="s">
        <v>195</v>
      </c>
      <c r="B94" s="35">
        <v>4</v>
      </c>
      <c r="C94" s="4">
        <v>19.7</v>
      </c>
      <c r="D94" s="32">
        <v>48314.25</v>
      </c>
      <c r="E94" s="34">
        <v>32.629012556798699</v>
      </c>
      <c r="F94" s="7">
        <f t="shared" si="0"/>
        <v>80022.653295548807</v>
      </c>
      <c r="G94">
        <v>106055</v>
      </c>
      <c r="H94">
        <v>106056</v>
      </c>
      <c r="I94">
        <v>75558</v>
      </c>
      <c r="J94">
        <v>85002</v>
      </c>
      <c r="K94" s="35"/>
      <c r="L94" s="32"/>
    </row>
    <row r="95" spans="1:13" x14ac:dyDescent="0.3">
      <c r="A95" s="4" t="s">
        <v>196</v>
      </c>
      <c r="B95" s="35">
        <v>4</v>
      </c>
      <c r="C95" s="4">
        <v>20.399999999999999</v>
      </c>
      <c r="D95" s="32">
        <v>50031</v>
      </c>
      <c r="E95" s="34">
        <v>32.793252552890003</v>
      </c>
      <c r="F95" s="7">
        <f t="shared" si="0"/>
        <v>80425.451885962728</v>
      </c>
      <c r="G95">
        <v>69833</v>
      </c>
      <c r="H95">
        <v>75558</v>
      </c>
      <c r="I95">
        <v>106056</v>
      </c>
      <c r="J95">
        <v>106057</v>
      </c>
      <c r="K95" s="35"/>
      <c r="L95" s="32"/>
    </row>
    <row r="96" spans="1:13" x14ac:dyDescent="0.3">
      <c r="A96" s="4" t="s">
        <v>197</v>
      </c>
      <c r="B96" s="35">
        <v>4</v>
      </c>
      <c r="C96" s="4">
        <v>19.8</v>
      </c>
      <c r="D96" s="32">
        <v>48559.5</v>
      </c>
      <c r="E96" s="34">
        <v>32.647261445253299</v>
      </c>
      <c r="F96" s="7">
        <f t="shared" si="0"/>
        <v>80067.408694483718</v>
      </c>
      <c r="G96">
        <v>61758</v>
      </c>
      <c r="H96">
        <v>69833</v>
      </c>
      <c r="I96">
        <v>106051</v>
      </c>
      <c r="J96">
        <v>106057</v>
      </c>
      <c r="K96" s="35"/>
      <c r="L96" s="32"/>
    </row>
    <row r="97" spans="1:19" x14ac:dyDescent="0.3">
      <c r="A97" s="4" t="s">
        <v>198</v>
      </c>
      <c r="B97" s="35">
        <v>4</v>
      </c>
      <c r="C97" s="4">
        <v>18.600000000000001</v>
      </c>
      <c r="D97" s="32">
        <v>45616.5</v>
      </c>
      <c r="E97" s="34">
        <v>30.6581326037035</v>
      </c>
      <c r="F97" s="7">
        <f t="shared" si="0"/>
        <v>75189.070210582839</v>
      </c>
      <c r="G97">
        <v>53652</v>
      </c>
      <c r="H97">
        <v>61758</v>
      </c>
      <c r="I97">
        <v>106051</v>
      </c>
      <c r="J97">
        <v>106052</v>
      </c>
      <c r="K97" s="35"/>
      <c r="L97" s="32"/>
    </row>
    <row r="98" spans="1:19" x14ac:dyDescent="0.3">
      <c r="A98" s="4" t="s">
        <v>199</v>
      </c>
      <c r="B98" s="35">
        <v>5</v>
      </c>
      <c r="C98" s="4">
        <v>19.2</v>
      </c>
      <c r="D98" s="32">
        <v>37670.400000000001</v>
      </c>
      <c r="E98" s="34">
        <v>31.899057018615299</v>
      </c>
      <c r="F98" s="7">
        <f t="shared" si="0"/>
        <v>62585.949870523218</v>
      </c>
      <c r="G98">
        <v>43162</v>
      </c>
      <c r="H98">
        <v>53652</v>
      </c>
      <c r="I98">
        <v>106052</v>
      </c>
      <c r="J98" s="35">
        <v>106077</v>
      </c>
      <c r="K98" s="32">
        <v>106078</v>
      </c>
    </row>
    <row r="99" spans="1:19" x14ac:dyDescent="0.3">
      <c r="A99" s="4" t="s">
        <v>200</v>
      </c>
      <c r="B99" s="4">
        <v>6</v>
      </c>
      <c r="C99" s="4">
        <v>22.7</v>
      </c>
      <c r="D99" s="32">
        <v>37114.5</v>
      </c>
      <c r="E99" s="34">
        <v>36.735012459080501</v>
      </c>
      <c r="F99" s="7">
        <f t="shared" si="0"/>
        <v>60061.745370596618</v>
      </c>
      <c r="G99">
        <v>106079</v>
      </c>
      <c r="H99">
        <v>106080</v>
      </c>
      <c r="I99">
        <v>106078</v>
      </c>
      <c r="J99">
        <v>43162</v>
      </c>
      <c r="K99" s="35">
        <v>37082</v>
      </c>
      <c r="L99" s="32">
        <v>26935</v>
      </c>
    </row>
    <row r="100" spans="1:19" x14ac:dyDescent="0.3">
      <c r="A100" s="4" t="s">
        <v>201</v>
      </c>
      <c r="B100" s="35">
        <v>5</v>
      </c>
      <c r="C100" s="4">
        <v>16.3</v>
      </c>
      <c r="D100" s="32">
        <v>31980.6</v>
      </c>
      <c r="E100" s="34">
        <v>26.9718571358773</v>
      </c>
      <c r="F100" s="7">
        <f t="shared" si="0"/>
        <v>52918.783700591266</v>
      </c>
      <c r="G100">
        <v>17951</v>
      </c>
      <c r="H100">
        <v>23194</v>
      </c>
      <c r="I100">
        <v>106067</v>
      </c>
      <c r="J100">
        <v>26935</v>
      </c>
      <c r="K100" s="35">
        <v>106079</v>
      </c>
      <c r="L100" s="32"/>
    </row>
    <row r="101" spans="1:19" x14ac:dyDescent="0.3">
      <c r="A101" s="4" t="s">
        <v>202</v>
      </c>
      <c r="B101" s="35">
        <v>5</v>
      </c>
      <c r="C101" s="4">
        <v>13.6</v>
      </c>
      <c r="D101" s="32">
        <v>26683.200000000001</v>
      </c>
      <c r="E101" s="34">
        <v>22.555626129867601</v>
      </c>
      <c r="F101" s="7">
        <f t="shared" si="0"/>
        <v>44254.138466800228</v>
      </c>
      <c r="G101">
        <v>11726</v>
      </c>
      <c r="H101">
        <v>106061</v>
      </c>
      <c r="I101">
        <v>106064</v>
      </c>
      <c r="J101">
        <v>106061</v>
      </c>
      <c r="K101" s="35">
        <v>17951</v>
      </c>
      <c r="L101" s="32"/>
    </row>
    <row r="102" spans="1:19" x14ac:dyDescent="0.3">
      <c r="A102" s="4" t="s">
        <v>203</v>
      </c>
      <c r="B102" s="35">
        <v>4</v>
      </c>
      <c r="C102" s="4">
        <v>15.8</v>
      </c>
      <c r="D102" s="32">
        <v>38749.5</v>
      </c>
      <c r="E102" s="34">
        <v>25.9681682708751</v>
      </c>
      <c r="F102" s="7">
        <f t="shared" si="0"/>
        <v>63686.932684321182</v>
      </c>
      <c r="G102">
        <v>660</v>
      </c>
      <c r="H102">
        <v>7547</v>
      </c>
      <c r="I102">
        <v>11726</v>
      </c>
      <c r="J102">
        <v>106064</v>
      </c>
      <c r="K102" s="35"/>
      <c r="L102" s="32"/>
      <c r="M102" s="34">
        <f>SUM(E91:E102)</f>
        <v>346.16316509503093</v>
      </c>
    </row>
    <row r="103" spans="1:19" x14ac:dyDescent="0.3">
      <c r="E103" s="7">
        <f>SUM(E77:E102)</f>
        <v>746.99999999999966</v>
      </c>
      <c r="F103" s="7"/>
    </row>
    <row r="104" spans="1:19" x14ac:dyDescent="0.3">
      <c r="A104" s="4" t="s">
        <v>204</v>
      </c>
      <c r="C104" t="s">
        <v>11</v>
      </c>
      <c r="D104" s="4" t="s">
        <v>99</v>
      </c>
      <c r="H104" s="4" t="s">
        <v>205</v>
      </c>
      <c r="I104" t="s">
        <v>12</v>
      </c>
      <c r="J104" s="4" t="s">
        <v>101</v>
      </c>
    </row>
    <row r="105" spans="1:19" x14ac:dyDescent="0.3">
      <c r="A105" s="32" t="s">
        <v>191</v>
      </c>
      <c r="B105">
        <v>36</v>
      </c>
      <c r="C105" s="32">
        <v>31980.6</v>
      </c>
      <c r="D105" s="7">
        <v>53026.196658034904</v>
      </c>
      <c r="E105">
        <f t="shared" ref="E105:F107" si="1">C105</f>
        <v>31980.6</v>
      </c>
      <c r="F105" s="7">
        <f t="shared" si="1"/>
        <v>53026.196658034904</v>
      </c>
      <c r="H105" s="4" t="s">
        <v>203</v>
      </c>
      <c r="I105">
        <v>660</v>
      </c>
      <c r="J105" s="32">
        <v>38749.5</v>
      </c>
      <c r="K105" s="7">
        <v>63686.932684321102</v>
      </c>
      <c r="L105">
        <f>J105</f>
        <v>38749.5</v>
      </c>
      <c r="M105" s="7">
        <f>K105</f>
        <v>63686.932684321102</v>
      </c>
      <c r="O105">
        <v>660</v>
      </c>
      <c r="R105">
        <v>38749.5</v>
      </c>
      <c r="S105">
        <v>63686.932684321102</v>
      </c>
    </row>
    <row r="106" spans="1:19" x14ac:dyDescent="0.3">
      <c r="A106" s="32" t="s">
        <v>191</v>
      </c>
      <c r="B106">
        <v>93</v>
      </c>
      <c r="C106" s="32">
        <v>31980.6</v>
      </c>
      <c r="D106" s="7">
        <v>53026.196658034904</v>
      </c>
      <c r="E106">
        <f t="shared" si="1"/>
        <v>31980.6</v>
      </c>
      <c r="F106" s="7">
        <f t="shared" si="1"/>
        <v>53026.196658034904</v>
      </c>
      <c r="H106" s="4" t="s">
        <v>203</v>
      </c>
      <c r="I106">
        <v>7547</v>
      </c>
      <c r="J106" s="32">
        <v>38749.5</v>
      </c>
      <c r="K106" s="7">
        <v>63686.932684321102</v>
      </c>
      <c r="L106">
        <f>J106</f>
        <v>38749.5</v>
      </c>
      <c r="M106" s="7">
        <f>K106</f>
        <v>63686.932684321102</v>
      </c>
      <c r="O106">
        <v>7547</v>
      </c>
      <c r="R106">
        <v>38749.5</v>
      </c>
      <c r="S106">
        <v>63686.932684321102</v>
      </c>
    </row>
    <row r="107" spans="1:19" x14ac:dyDescent="0.3">
      <c r="A107" s="32" t="s">
        <v>191</v>
      </c>
      <c r="B107">
        <v>3196</v>
      </c>
      <c r="C107" s="32">
        <v>31980.6</v>
      </c>
      <c r="D107" s="7">
        <v>53026.196658034904</v>
      </c>
      <c r="E107">
        <f t="shared" si="1"/>
        <v>31980.6</v>
      </c>
      <c r="F107" s="7">
        <f t="shared" si="1"/>
        <v>53026.196658034904</v>
      </c>
      <c r="H107" s="4" t="s">
        <v>202</v>
      </c>
      <c r="I107">
        <v>11726</v>
      </c>
      <c r="J107" s="32">
        <v>26683.200000000001</v>
      </c>
      <c r="K107" s="7">
        <v>44254.138466800199</v>
      </c>
      <c r="L107">
        <f>J107+J108</f>
        <v>65432.7</v>
      </c>
      <c r="M107" s="7">
        <f>K107+K108</f>
        <v>107941.0711511213</v>
      </c>
      <c r="O107">
        <v>11726</v>
      </c>
      <c r="R107">
        <v>65432.7</v>
      </c>
      <c r="S107">
        <v>107941.071151121</v>
      </c>
    </row>
    <row r="108" spans="1:19" x14ac:dyDescent="0.3">
      <c r="A108" s="32" t="s">
        <v>190</v>
      </c>
      <c r="B108">
        <v>6729</v>
      </c>
      <c r="C108" s="32">
        <v>49785.75</v>
      </c>
      <c r="D108" s="7">
        <v>82215.667843357602</v>
      </c>
      <c r="E108">
        <f>C108+C109</f>
        <v>81766.350000000006</v>
      </c>
      <c r="F108" s="7">
        <f>D108+D109</f>
        <v>135241.8645013925</v>
      </c>
      <c r="H108" s="4" t="s">
        <v>203</v>
      </c>
      <c r="I108">
        <v>11726</v>
      </c>
      <c r="J108" s="32">
        <v>38749.5</v>
      </c>
      <c r="K108" s="7">
        <v>63686.932684321102</v>
      </c>
      <c r="M108" s="7"/>
      <c r="O108">
        <v>17951</v>
      </c>
      <c r="R108">
        <v>58663.8</v>
      </c>
      <c r="S108">
        <v>97172.9221673914</v>
      </c>
    </row>
    <row r="109" spans="1:19" x14ac:dyDescent="0.3">
      <c r="A109" s="32" t="s">
        <v>191</v>
      </c>
      <c r="B109">
        <v>6729</v>
      </c>
      <c r="C109" s="32">
        <v>31980.6</v>
      </c>
      <c r="D109" s="7">
        <v>53026.196658034904</v>
      </c>
      <c r="F109" s="7"/>
      <c r="H109" s="4" t="s">
        <v>201</v>
      </c>
      <c r="I109">
        <v>17951</v>
      </c>
      <c r="J109" s="32">
        <v>31980.6</v>
      </c>
      <c r="K109" s="7">
        <v>52918.783700591201</v>
      </c>
      <c r="L109">
        <f>J109+J110</f>
        <v>58663.8</v>
      </c>
      <c r="M109" s="7">
        <f>K109+K110</f>
        <v>97172.9221673914</v>
      </c>
      <c r="O109">
        <v>23194</v>
      </c>
      <c r="R109">
        <v>31980.6</v>
      </c>
      <c r="S109">
        <v>52918.783700591201</v>
      </c>
    </row>
    <row r="110" spans="1:19" x14ac:dyDescent="0.3">
      <c r="A110" s="32" t="s">
        <v>190</v>
      </c>
      <c r="B110">
        <v>15773</v>
      </c>
      <c r="C110" s="32">
        <v>49785.75</v>
      </c>
      <c r="D110" s="7">
        <v>82215.667843357602</v>
      </c>
      <c r="E110">
        <f t="shared" ref="E110:F113" si="2">C110</f>
        <v>49785.75</v>
      </c>
      <c r="F110" s="7">
        <f t="shared" si="2"/>
        <v>82215.667843357602</v>
      </c>
      <c r="H110" s="4" t="s">
        <v>202</v>
      </c>
      <c r="I110" s="36">
        <v>17951</v>
      </c>
      <c r="J110" s="32">
        <v>26683.200000000001</v>
      </c>
      <c r="K110" s="7">
        <v>44254.138466800199</v>
      </c>
      <c r="M110" s="7"/>
      <c r="O110">
        <v>26935</v>
      </c>
      <c r="R110">
        <v>69095.100000000006</v>
      </c>
      <c r="S110">
        <v>112980.52907118799</v>
      </c>
    </row>
    <row r="111" spans="1:19" x14ac:dyDescent="0.3">
      <c r="A111" s="32" t="s">
        <v>189</v>
      </c>
      <c r="B111">
        <v>15851</v>
      </c>
      <c r="C111" s="32">
        <v>28694.25</v>
      </c>
      <c r="D111" s="7">
        <v>47351.212073093302</v>
      </c>
      <c r="E111">
        <f t="shared" si="2"/>
        <v>28694.25</v>
      </c>
      <c r="F111" s="7">
        <f t="shared" si="2"/>
        <v>47351.212073093302</v>
      </c>
      <c r="H111" s="4" t="s">
        <v>201</v>
      </c>
      <c r="I111" s="36">
        <v>23194</v>
      </c>
      <c r="J111" s="32">
        <v>31980.6</v>
      </c>
      <c r="K111" s="7">
        <v>52918.783700591201</v>
      </c>
      <c r="L111">
        <f>J111</f>
        <v>31980.6</v>
      </c>
      <c r="M111" s="7">
        <f>K111</f>
        <v>52918.783700591201</v>
      </c>
      <c r="O111">
        <v>37082</v>
      </c>
      <c r="R111">
        <v>37114.5</v>
      </c>
      <c r="S111">
        <v>60061.745370596604</v>
      </c>
    </row>
    <row r="112" spans="1:19" x14ac:dyDescent="0.3">
      <c r="A112" s="32" t="s">
        <v>189</v>
      </c>
      <c r="B112">
        <v>19564</v>
      </c>
      <c r="C112" s="32">
        <v>28694.25</v>
      </c>
      <c r="D112" s="7">
        <v>47351.212073093302</v>
      </c>
      <c r="E112">
        <f t="shared" si="2"/>
        <v>28694.25</v>
      </c>
      <c r="F112" s="7">
        <f t="shared" si="2"/>
        <v>47351.212073093302</v>
      </c>
      <c r="H112" s="4" t="s">
        <v>201</v>
      </c>
      <c r="I112" s="36">
        <v>26935</v>
      </c>
      <c r="J112" s="32">
        <v>31980.6</v>
      </c>
      <c r="K112" s="7">
        <v>52918.783700591201</v>
      </c>
      <c r="L112">
        <f>J112+J113</f>
        <v>69095.100000000006</v>
      </c>
      <c r="M112" s="7">
        <f>K112+K113</f>
        <v>112980.5290711878</v>
      </c>
      <c r="O112">
        <v>43162</v>
      </c>
      <c r="R112">
        <v>74784.899999999994</v>
      </c>
      <c r="S112">
        <v>122647.69524112</v>
      </c>
    </row>
    <row r="113" spans="1:19" x14ac:dyDescent="0.3">
      <c r="A113" s="32" t="s">
        <v>188</v>
      </c>
      <c r="B113">
        <v>20248</v>
      </c>
      <c r="C113" s="32">
        <v>54936</v>
      </c>
      <c r="D113" s="7">
        <v>90361.150449504101</v>
      </c>
      <c r="E113">
        <f t="shared" si="2"/>
        <v>54936</v>
      </c>
      <c r="F113" s="7">
        <f t="shared" si="2"/>
        <v>90361.150449504101</v>
      </c>
      <c r="H113" s="4" t="s">
        <v>200</v>
      </c>
      <c r="I113" s="37">
        <v>26935</v>
      </c>
      <c r="J113" s="32">
        <v>37114.5</v>
      </c>
      <c r="K113" s="7">
        <v>60061.745370596604</v>
      </c>
      <c r="M113" s="7"/>
      <c r="O113">
        <v>53652</v>
      </c>
      <c r="R113">
        <v>83286.899999999994</v>
      </c>
      <c r="S113">
        <v>137775.02008110599</v>
      </c>
    </row>
    <row r="114" spans="1:19" x14ac:dyDescent="0.3">
      <c r="A114" s="32" t="s">
        <v>187</v>
      </c>
      <c r="B114">
        <v>28112</v>
      </c>
      <c r="C114" s="32">
        <v>52974</v>
      </c>
      <c r="D114" s="7">
        <v>85214.279571993902</v>
      </c>
      <c r="E114">
        <f>C114+C115</f>
        <v>107910</v>
      </c>
      <c r="F114" s="7">
        <f>D114+D115</f>
        <v>175575.430021498</v>
      </c>
      <c r="H114" s="4" t="s">
        <v>200</v>
      </c>
      <c r="I114" s="36">
        <v>37082</v>
      </c>
      <c r="J114" s="32">
        <v>37114.5</v>
      </c>
      <c r="K114" s="7">
        <v>60061.745370596604</v>
      </c>
      <c r="L114">
        <f>J114</f>
        <v>37114.5</v>
      </c>
      <c r="M114" s="7">
        <f>K114</f>
        <v>60061.745370596604</v>
      </c>
      <c r="O114">
        <v>61758</v>
      </c>
      <c r="R114">
        <v>94176</v>
      </c>
      <c r="S114">
        <v>155256.47890506699</v>
      </c>
    </row>
    <row r="115" spans="1:19" x14ac:dyDescent="0.3">
      <c r="A115" s="32" t="s">
        <v>188</v>
      </c>
      <c r="B115">
        <v>28112</v>
      </c>
      <c r="C115" s="32">
        <v>54936</v>
      </c>
      <c r="D115" s="7">
        <v>90361.150449504101</v>
      </c>
      <c r="F115" s="7"/>
      <c r="H115" s="4" t="s">
        <v>199</v>
      </c>
      <c r="I115" s="36">
        <v>43162</v>
      </c>
      <c r="J115" s="32">
        <v>37670.400000000001</v>
      </c>
      <c r="K115" s="7">
        <v>62585.949870523298</v>
      </c>
      <c r="L115">
        <f>J115+J116</f>
        <v>74784.899999999994</v>
      </c>
      <c r="M115" s="7">
        <f>K115+K116</f>
        <v>122647.6952411199</v>
      </c>
      <c r="O115">
        <v>69833</v>
      </c>
      <c r="R115">
        <v>98590.5</v>
      </c>
      <c r="S115">
        <v>160492.86058044701</v>
      </c>
    </row>
    <row r="116" spans="1:19" x14ac:dyDescent="0.3">
      <c r="A116" s="32" t="s">
        <v>186</v>
      </c>
      <c r="B116">
        <v>36800</v>
      </c>
      <c r="C116" s="32">
        <v>54445.5</v>
      </c>
      <c r="D116" s="7">
        <v>90092.618055894796</v>
      </c>
      <c r="E116">
        <f>C116+C117</f>
        <v>107419.5</v>
      </c>
      <c r="F116" s="7">
        <f>D116+D117</f>
        <v>175306.89762788871</v>
      </c>
      <c r="H116" s="4" t="s">
        <v>200</v>
      </c>
      <c r="I116" s="36">
        <v>43162</v>
      </c>
      <c r="J116" s="32">
        <v>37114.5</v>
      </c>
      <c r="K116" s="7">
        <v>60061.745370596604</v>
      </c>
      <c r="M116" s="7"/>
      <c r="O116">
        <v>75558</v>
      </c>
      <c r="R116">
        <v>98345.25</v>
      </c>
      <c r="S116">
        <v>160448.10518151199</v>
      </c>
    </row>
    <row r="117" spans="1:19" x14ac:dyDescent="0.3">
      <c r="A117" s="32" t="s">
        <v>187</v>
      </c>
      <c r="B117">
        <v>36800</v>
      </c>
      <c r="C117" s="32">
        <v>52974</v>
      </c>
      <c r="D117" s="7">
        <v>85214.279571993902</v>
      </c>
      <c r="F117" s="7"/>
      <c r="H117" s="4" t="s">
        <v>198</v>
      </c>
      <c r="I117" s="36">
        <v>53652</v>
      </c>
      <c r="J117" s="32">
        <v>45616.5</v>
      </c>
      <c r="K117" s="7">
        <v>75189.070210582897</v>
      </c>
      <c r="L117">
        <f>J117+J118</f>
        <v>83286.899999999994</v>
      </c>
      <c r="M117" s="7">
        <f>K117+K118</f>
        <v>137775.02008110619</v>
      </c>
      <c r="O117">
        <v>85002</v>
      </c>
      <c r="R117">
        <v>97119</v>
      </c>
      <c r="S117">
        <v>160716.63757512101</v>
      </c>
    </row>
    <row r="118" spans="1:19" x14ac:dyDescent="0.3">
      <c r="A118" s="32" t="s">
        <v>185</v>
      </c>
      <c r="B118">
        <v>44966</v>
      </c>
      <c r="C118" s="32">
        <v>53709.75</v>
      </c>
      <c r="D118" s="7">
        <v>88973.733082523104</v>
      </c>
      <c r="E118">
        <f>C118+C119</f>
        <v>108155.25</v>
      </c>
      <c r="F118" s="7">
        <f>D118+D119</f>
        <v>179066.3511384179</v>
      </c>
      <c r="H118" s="4" t="s">
        <v>199</v>
      </c>
      <c r="I118" s="36">
        <v>53652</v>
      </c>
      <c r="J118" s="32">
        <v>37670.400000000001</v>
      </c>
      <c r="K118" s="7">
        <v>62585.949870523298</v>
      </c>
      <c r="M118" s="7"/>
      <c r="O118">
        <v>91398</v>
      </c>
      <c r="R118">
        <v>83875.5</v>
      </c>
      <c r="S118">
        <v>138473.20430449001</v>
      </c>
    </row>
    <row r="119" spans="1:19" x14ac:dyDescent="0.3">
      <c r="A119" s="32" t="s">
        <v>186</v>
      </c>
      <c r="B119">
        <v>44966</v>
      </c>
      <c r="C119" s="32">
        <v>54445.5</v>
      </c>
      <c r="D119" s="7">
        <v>90092.618055894796</v>
      </c>
      <c r="F119" s="7"/>
      <c r="H119" s="4" t="s">
        <v>197</v>
      </c>
      <c r="I119" s="36">
        <v>61758</v>
      </c>
      <c r="J119" s="32">
        <v>48559.5</v>
      </c>
      <c r="K119" s="7">
        <v>80067.408694483805</v>
      </c>
      <c r="L119">
        <f>J119+J120</f>
        <v>94176</v>
      </c>
      <c r="M119" s="7">
        <f>K119+K120</f>
        <v>155256.4789050667</v>
      </c>
      <c r="O119">
        <v>96122</v>
      </c>
      <c r="R119">
        <v>60086.25</v>
      </c>
      <c r="S119">
        <v>99088.453241803902</v>
      </c>
    </row>
    <row r="120" spans="1:19" x14ac:dyDescent="0.3">
      <c r="A120" s="32" t="s">
        <v>184</v>
      </c>
      <c r="B120">
        <v>53286</v>
      </c>
      <c r="C120" s="32">
        <v>46352.25</v>
      </c>
      <c r="D120" s="7">
        <v>76218.444386084899</v>
      </c>
      <c r="E120">
        <f>C120+C121</f>
        <v>100062</v>
      </c>
      <c r="F120" s="7">
        <f>D120+D121</f>
        <v>165192.17746860802</v>
      </c>
      <c r="H120" s="4" t="s">
        <v>198</v>
      </c>
      <c r="I120" s="36">
        <v>61758</v>
      </c>
      <c r="J120" s="32">
        <v>45616.5</v>
      </c>
      <c r="K120" s="7">
        <v>75189.070210582897</v>
      </c>
      <c r="M120" s="7"/>
      <c r="O120">
        <v>100853</v>
      </c>
      <c r="R120">
        <v>25015.5</v>
      </c>
      <c r="S120">
        <v>41309.233216885703</v>
      </c>
    </row>
    <row r="121" spans="1:19" x14ac:dyDescent="0.3">
      <c r="A121" s="32" t="s">
        <v>185</v>
      </c>
      <c r="B121">
        <v>53286</v>
      </c>
      <c r="C121" s="32">
        <v>53709.75</v>
      </c>
      <c r="D121" s="7">
        <v>88973.733082523104</v>
      </c>
      <c r="F121" s="7"/>
      <c r="H121" s="4" t="s">
        <v>196</v>
      </c>
      <c r="I121" s="36">
        <v>69833</v>
      </c>
      <c r="J121" s="32">
        <v>50031</v>
      </c>
      <c r="K121" s="7">
        <v>80425.451885962801</v>
      </c>
      <c r="L121">
        <f>J121+J122</f>
        <v>98590.5</v>
      </c>
      <c r="M121" s="7">
        <f>K121+K122</f>
        <v>160492.86058044661</v>
      </c>
      <c r="O121">
        <v>101412</v>
      </c>
      <c r="R121">
        <v>25015.5</v>
      </c>
      <c r="S121">
        <v>41309.233216885703</v>
      </c>
    </row>
    <row r="122" spans="1:19" x14ac:dyDescent="0.3">
      <c r="A122" s="32" t="s">
        <v>183</v>
      </c>
      <c r="B122">
        <v>61494</v>
      </c>
      <c r="C122" s="32">
        <v>36542.25</v>
      </c>
      <c r="D122" s="7">
        <v>60688.320955684801</v>
      </c>
      <c r="E122">
        <f>C122+C123</f>
        <v>82894.5</v>
      </c>
      <c r="F122" s="7">
        <f>D122+D123</f>
        <v>136906.7653417697</v>
      </c>
      <c r="H122" s="4" t="s">
        <v>197</v>
      </c>
      <c r="I122" s="36">
        <v>69833</v>
      </c>
      <c r="J122" s="32">
        <v>48559.5</v>
      </c>
      <c r="K122" s="7">
        <v>80067.408694483805</v>
      </c>
      <c r="M122" s="7"/>
      <c r="O122">
        <v>106051</v>
      </c>
      <c r="R122">
        <v>94176</v>
      </c>
      <c r="S122">
        <v>155256.47890506699</v>
      </c>
    </row>
    <row r="123" spans="1:19" x14ac:dyDescent="0.3">
      <c r="A123" s="32" t="s">
        <v>184</v>
      </c>
      <c r="B123">
        <v>61494</v>
      </c>
      <c r="C123" s="32">
        <v>46352.25</v>
      </c>
      <c r="D123" s="7">
        <v>76218.444386084899</v>
      </c>
      <c r="F123" s="7"/>
      <c r="H123" s="4" t="s">
        <v>196</v>
      </c>
      <c r="I123" s="36">
        <v>75558</v>
      </c>
      <c r="J123" s="32">
        <v>50031</v>
      </c>
      <c r="K123" s="7">
        <v>80425.451885962801</v>
      </c>
      <c r="L123">
        <f>J123+J124</f>
        <v>98345.25</v>
      </c>
      <c r="M123" s="7">
        <f>K123+K124</f>
        <v>160448.1051815117</v>
      </c>
      <c r="O123">
        <v>106052</v>
      </c>
      <c r="R123">
        <v>83286.899999999994</v>
      </c>
      <c r="S123">
        <v>137775.02008110599</v>
      </c>
    </row>
    <row r="124" spans="1:19" x14ac:dyDescent="0.3">
      <c r="A124" s="32" t="s">
        <v>182</v>
      </c>
      <c r="B124">
        <v>69565</v>
      </c>
      <c r="C124" s="32">
        <v>38259</v>
      </c>
      <c r="D124" s="7">
        <v>60912.097950359101</v>
      </c>
      <c r="E124">
        <f>C124+C125</f>
        <v>74801.25</v>
      </c>
      <c r="F124" s="7">
        <f>D124+D125</f>
        <v>121600.41890604389</v>
      </c>
      <c r="H124" s="4" t="s">
        <v>195</v>
      </c>
      <c r="I124" s="36">
        <v>75558</v>
      </c>
      <c r="J124" s="32">
        <v>48314.25</v>
      </c>
      <c r="K124" s="7">
        <v>80022.653295548895</v>
      </c>
      <c r="M124" s="7"/>
      <c r="O124">
        <v>106054</v>
      </c>
      <c r="R124">
        <v>83875.5</v>
      </c>
      <c r="S124">
        <v>138473.20430449001</v>
      </c>
    </row>
    <row r="125" spans="1:19" x14ac:dyDescent="0.3">
      <c r="A125" s="32" t="s">
        <v>183</v>
      </c>
      <c r="B125">
        <v>69565</v>
      </c>
      <c r="C125" s="32">
        <v>36542.25</v>
      </c>
      <c r="D125" s="7">
        <v>60688.320955684801</v>
      </c>
      <c r="F125" s="7"/>
      <c r="H125" s="4" t="s">
        <v>194</v>
      </c>
      <c r="I125" s="36">
        <v>85002</v>
      </c>
      <c r="J125" s="32">
        <v>48804.75</v>
      </c>
      <c r="K125" s="7">
        <v>80693.984279572003</v>
      </c>
      <c r="L125">
        <f>J125+J126</f>
        <v>97119</v>
      </c>
      <c r="M125" s="7">
        <f>K125+K126</f>
        <v>160716.6375751209</v>
      </c>
      <c r="O125">
        <v>106055</v>
      </c>
      <c r="R125">
        <v>97119</v>
      </c>
      <c r="S125">
        <v>160716.63757512101</v>
      </c>
    </row>
    <row r="126" spans="1:19" x14ac:dyDescent="0.3">
      <c r="A126" s="32" t="s">
        <v>181</v>
      </c>
      <c r="B126">
        <v>75327</v>
      </c>
      <c r="C126" s="32">
        <v>36542.25</v>
      </c>
      <c r="D126" s="7">
        <v>60777.831753554499</v>
      </c>
      <c r="E126">
        <f>C126+C127</f>
        <v>74801.25</v>
      </c>
      <c r="F126" s="7">
        <f>D126+D127</f>
        <v>121689.9297039136</v>
      </c>
      <c r="H126" s="4" t="s">
        <v>195</v>
      </c>
      <c r="I126" s="36">
        <v>85002</v>
      </c>
      <c r="J126" s="32">
        <v>48314.25</v>
      </c>
      <c r="K126" s="7">
        <v>80022.653295548895</v>
      </c>
      <c r="M126" s="7"/>
      <c r="O126">
        <v>106056</v>
      </c>
      <c r="R126">
        <v>98345.25</v>
      </c>
      <c r="S126">
        <v>160448.10518151199</v>
      </c>
    </row>
    <row r="127" spans="1:19" x14ac:dyDescent="0.3">
      <c r="A127" s="32" t="s">
        <v>182</v>
      </c>
      <c r="B127">
        <v>75327</v>
      </c>
      <c r="C127" s="32">
        <v>38259</v>
      </c>
      <c r="D127" s="7">
        <v>60912.097950359101</v>
      </c>
      <c r="F127" s="7"/>
      <c r="H127" s="4" t="s">
        <v>193</v>
      </c>
      <c r="I127" s="36">
        <v>91398</v>
      </c>
      <c r="J127" s="32">
        <v>35070.75</v>
      </c>
      <c r="K127" s="7">
        <v>57779.220024918097</v>
      </c>
      <c r="L127">
        <f>J127+J128</f>
        <v>83875.5</v>
      </c>
      <c r="M127" s="7">
        <f>K127+K128</f>
        <v>138473.20430449009</v>
      </c>
      <c r="O127">
        <v>106057</v>
      </c>
      <c r="R127">
        <v>98590.5</v>
      </c>
      <c r="S127">
        <v>160492.86058044701</v>
      </c>
    </row>
    <row r="128" spans="1:19" x14ac:dyDescent="0.3">
      <c r="A128" s="32" t="s">
        <v>180</v>
      </c>
      <c r="B128">
        <v>84766</v>
      </c>
      <c r="C128" s="32">
        <v>27713.25</v>
      </c>
      <c r="D128" s="7">
        <v>45963.794706112298</v>
      </c>
      <c r="E128">
        <f>C128+C129</f>
        <v>64255.5</v>
      </c>
      <c r="F128" s="7">
        <f>D128+D129</f>
        <v>106741.62645966679</v>
      </c>
      <c r="H128" s="4" t="s">
        <v>194</v>
      </c>
      <c r="I128" s="36">
        <v>91398</v>
      </c>
      <c r="J128" s="32">
        <v>48804.75</v>
      </c>
      <c r="K128" s="7">
        <v>80693.984279572003</v>
      </c>
      <c r="M128" s="7"/>
      <c r="O128">
        <v>106059</v>
      </c>
      <c r="R128">
        <v>60086.25</v>
      </c>
      <c r="S128">
        <v>99088.453241803902</v>
      </c>
    </row>
    <row r="129" spans="1:19" x14ac:dyDescent="0.3">
      <c r="A129" s="32" t="s">
        <v>181</v>
      </c>
      <c r="B129">
        <v>84766</v>
      </c>
      <c r="C129" s="32">
        <v>36542.25</v>
      </c>
      <c r="D129" s="7">
        <v>60777.831753554499</v>
      </c>
      <c r="F129" s="7"/>
      <c r="H129" s="4" t="s">
        <v>192</v>
      </c>
      <c r="I129" s="36">
        <v>96122</v>
      </c>
      <c r="J129" s="32">
        <v>25015.5</v>
      </c>
      <c r="K129" s="7">
        <v>41309.233216885703</v>
      </c>
      <c r="L129">
        <f>J129+J130</f>
        <v>60086.25</v>
      </c>
      <c r="M129" s="7">
        <f>K129+K130</f>
        <v>99088.4532418038</v>
      </c>
      <c r="O129">
        <v>106061</v>
      </c>
      <c r="R129">
        <v>53366.400000000001</v>
      </c>
      <c r="S129">
        <v>88508.276933600398</v>
      </c>
    </row>
    <row r="130" spans="1:19" x14ac:dyDescent="0.3">
      <c r="A130" s="32" t="s">
        <v>179</v>
      </c>
      <c r="B130">
        <v>89699</v>
      </c>
      <c r="C130" s="32">
        <v>41398.199999999997</v>
      </c>
      <c r="D130" s="7">
        <v>68601.075487369904</v>
      </c>
      <c r="E130">
        <f>C130+C131</f>
        <v>69111.45</v>
      </c>
      <c r="F130" s="7">
        <f>D130+D131</f>
        <v>114564.8701934822</v>
      </c>
      <c r="H130" s="4" t="s">
        <v>193</v>
      </c>
      <c r="I130" s="36">
        <v>96122</v>
      </c>
      <c r="J130" s="32">
        <v>35070.75</v>
      </c>
      <c r="K130" s="7">
        <v>57779.220024918097</v>
      </c>
      <c r="M130" s="7"/>
      <c r="O130">
        <v>106064</v>
      </c>
      <c r="R130">
        <v>65432.7</v>
      </c>
      <c r="S130">
        <v>107941.071151121</v>
      </c>
    </row>
    <row r="131" spans="1:19" x14ac:dyDescent="0.3">
      <c r="A131" s="32" t="s">
        <v>180</v>
      </c>
      <c r="B131">
        <v>89699</v>
      </c>
      <c r="C131" s="32">
        <v>27713.25</v>
      </c>
      <c r="D131" s="7">
        <v>45963.794706112298</v>
      </c>
      <c r="F131" s="7"/>
      <c r="H131" s="4" t="s">
        <v>192</v>
      </c>
      <c r="I131" s="36">
        <v>100853</v>
      </c>
      <c r="J131" s="32">
        <v>25015.5</v>
      </c>
      <c r="K131" s="7">
        <v>41309.233216885703</v>
      </c>
      <c r="L131">
        <f>J131</f>
        <v>25015.5</v>
      </c>
      <c r="M131" s="7">
        <f>K131</f>
        <v>41309.233216885703</v>
      </c>
      <c r="O131">
        <v>106067</v>
      </c>
      <c r="R131">
        <v>31980.6</v>
      </c>
      <c r="S131">
        <v>52918.783700591201</v>
      </c>
    </row>
    <row r="132" spans="1:19" x14ac:dyDescent="0.3">
      <c r="A132" s="32" t="s">
        <v>178</v>
      </c>
      <c r="B132">
        <v>95601</v>
      </c>
      <c r="C132" s="32">
        <v>25506</v>
      </c>
      <c r="D132" s="7">
        <v>42249.096594518</v>
      </c>
      <c r="E132">
        <f>C132+C133</f>
        <v>66904.2</v>
      </c>
      <c r="F132" s="7">
        <f>D132+D133</f>
        <v>110850.1720818879</v>
      </c>
      <c r="H132" s="4" t="s">
        <v>192</v>
      </c>
      <c r="I132" s="36">
        <v>101412</v>
      </c>
      <c r="J132" s="32">
        <v>25015.5</v>
      </c>
      <c r="K132" s="7">
        <v>41309.233216885703</v>
      </c>
      <c r="L132">
        <f>J132</f>
        <v>25015.5</v>
      </c>
      <c r="M132" s="7">
        <f>K132</f>
        <v>41309.233216885703</v>
      </c>
      <c r="O132">
        <v>106077</v>
      </c>
      <c r="R132">
        <v>37670.400000000001</v>
      </c>
      <c r="S132">
        <v>62585.949870523298</v>
      </c>
    </row>
    <row r="133" spans="1:19" x14ac:dyDescent="0.3">
      <c r="A133" s="32" t="s">
        <v>179</v>
      </c>
      <c r="B133">
        <v>95601</v>
      </c>
      <c r="C133" s="32">
        <v>41398.199999999997</v>
      </c>
      <c r="D133" s="7">
        <v>68601.075487369904</v>
      </c>
      <c r="F133" s="7"/>
      <c r="H133" s="4" t="s">
        <v>197</v>
      </c>
      <c r="I133" s="36">
        <v>106051</v>
      </c>
      <c r="J133" s="32">
        <v>48559.5</v>
      </c>
      <c r="K133" s="7">
        <v>80067.408694483805</v>
      </c>
      <c r="L133">
        <f>J133+J134</f>
        <v>94176</v>
      </c>
      <c r="M133" s="7">
        <f>K133+K134</f>
        <v>155256.4789050667</v>
      </c>
      <c r="O133">
        <v>106078</v>
      </c>
      <c r="R133">
        <v>74784.899999999994</v>
      </c>
      <c r="S133">
        <v>122647.69524112</v>
      </c>
    </row>
    <row r="134" spans="1:19" x14ac:dyDescent="0.3">
      <c r="A134" s="32" t="s">
        <v>178</v>
      </c>
      <c r="B134">
        <v>99676</v>
      </c>
      <c r="C134" s="32">
        <v>25506</v>
      </c>
      <c r="D134" s="7">
        <v>42249.096594518</v>
      </c>
      <c r="E134">
        <f>C134</f>
        <v>25506</v>
      </c>
      <c r="F134" s="7">
        <f>D134</f>
        <v>42249.096594518</v>
      </c>
      <c r="H134" s="4" t="s">
        <v>198</v>
      </c>
      <c r="I134" s="36">
        <v>106051</v>
      </c>
      <c r="J134" s="32">
        <v>45616.5</v>
      </c>
      <c r="K134" s="7">
        <v>75189.070210582897</v>
      </c>
      <c r="M134" s="7"/>
      <c r="O134">
        <v>106079</v>
      </c>
      <c r="R134">
        <v>69095.100000000006</v>
      </c>
      <c r="S134">
        <v>112980.52907118799</v>
      </c>
    </row>
    <row r="135" spans="1:19" x14ac:dyDescent="0.3">
      <c r="A135" s="32" t="s">
        <v>178</v>
      </c>
      <c r="B135">
        <v>100853</v>
      </c>
      <c r="C135" s="32">
        <v>25506</v>
      </c>
      <c r="D135" s="7">
        <v>42249.096594518</v>
      </c>
      <c r="E135">
        <f>C135</f>
        <v>25506</v>
      </c>
      <c r="F135" s="7">
        <f>D135</f>
        <v>42249.096594518</v>
      </c>
      <c r="H135" s="4" t="s">
        <v>199</v>
      </c>
      <c r="I135" s="36">
        <v>106052</v>
      </c>
      <c r="J135" s="32">
        <v>37670.400000000001</v>
      </c>
      <c r="K135" s="7">
        <v>62585.949870523298</v>
      </c>
      <c r="L135">
        <f>J135+J136</f>
        <v>83286.899999999994</v>
      </c>
      <c r="M135" s="7">
        <f>K135+K136</f>
        <v>137775.02008110619</v>
      </c>
      <c r="O135">
        <v>106080</v>
      </c>
      <c r="R135">
        <v>37114.5</v>
      </c>
      <c r="S135">
        <v>60061.745370596604</v>
      </c>
    </row>
    <row r="136" spans="1:19" x14ac:dyDescent="0.3">
      <c r="A136" s="32" t="s">
        <v>186</v>
      </c>
      <c r="B136">
        <v>106047</v>
      </c>
      <c r="C136" s="32">
        <v>54445.5</v>
      </c>
      <c r="D136" s="7">
        <v>90092.618055894796</v>
      </c>
      <c r="E136">
        <f>C136+C137</f>
        <v>107419.5</v>
      </c>
      <c r="F136" s="7">
        <f>D136+D137</f>
        <v>175306.89762788871</v>
      </c>
      <c r="H136" s="4" t="s">
        <v>198</v>
      </c>
      <c r="I136" s="36">
        <v>106052</v>
      </c>
      <c r="J136" s="32">
        <v>45616.5</v>
      </c>
      <c r="K136" s="7">
        <v>75189.070210582897</v>
      </c>
      <c r="M136" s="7"/>
      <c r="O136">
        <f>COUNT(O105:O135)</f>
        <v>31</v>
      </c>
      <c r="S136">
        <f>SUM(S105:S135)</f>
        <v>3395860.6495822566</v>
      </c>
    </row>
    <row r="137" spans="1:19" x14ac:dyDescent="0.3">
      <c r="A137" s="32" t="s">
        <v>187</v>
      </c>
      <c r="B137">
        <v>106047</v>
      </c>
      <c r="C137" s="32">
        <v>52974</v>
      </c>
      <c r="D137" s="7">
        <v>85214.279571993902</v>
      </c>
      <c r="F137" s="7"/>
      <c r="H137" s="4" t="s">
        <v>193</v>
      </c>
      <c r="I137" s="36">
        <v>106054</v>
      </c>
      <c r="J137" s="32">
        <v>35070.75</v>
      </c>
      <c r="K137" s="7">
        <v>57779.220024918097</v>
      </c>
      <c r="L137">
        <f>J137+J138</f>
        <v>83875.5</v>
      </c>
      <c r="M137" s="7">
        <f>K137+K138</f>
        <v>138473.20430449009</v>
      </c>
    </row>
    <row r="138" spans="1:19" x14ac:dyDescent="0.3">
      <c r="A138" s="32" t="s">
        <v>188</v>
      </c>
      <c r="B138">
        <v>106048</v>
      </c>
      <c r="C138" s="32">
        <v>54936</v>
      </c>
      <c r="D138" s="7">
        <v>90361.150449504101</v>
      </c>
      <c r="E138">
        <f>C138+C139</f>
        <v>107910</v>
      </c>
      <c r="F138" s="7">
        <f>D138+D139</f>
        <v>175575.430021498</v>
      </c>
      <c r="H138" s="4" t="s">
        <v>194</v>
      </c>
      <c r="I138" s="36">
        <v>106054</v>
      </c>
      <c r="J138" s="32">
        <v>48804.75</v>
      </c>
      <c r="K138" s="7">
        <v>80693.984279572003</v>
      </c>
      <c r="M138" s="7"/>
    </row>
    <row r="139" spans="1:19" x14ac:dyDescent="0.3">
      <c r="A139" s="32" t="s">
        <v>187</v>
      </c>
      <c r="B139">
        <v>106048</v>
      </c>
      <c r="C139" s="32">
        <v>52974</v>
      </c>
      <c r="D139" s="7">
        <v>85214.279571993902</v>
      </c>
      <c r="F139" s="7"/>
      <c r="H139" s="4" t="s">
        <v>195</v>
      </c>
      <c r="I139" s="36">
        <v>106055</v>
      </c>
      <c r="J139" s="32">
        <v>48314.25</v>
      </c>
      <c r="K139" s="7">
        <v>80022.653295548895</v>
      </c>
      <c r="L139">
        <f>J139+J140</f>
        <v>97119</v>
      </c>
      <c r="M139" s="7">
        <f>K139+K140</f>
        <v>160716.6375751209</v>
      </c>
    </row>
    <row r="140" spans="1:19" x14ac:dyDescent="0.3">
      <c r="A140" s="32" t="s">
        <v>189</v>
      </c>
      <c r="B140">
        <v>106049</v>
      </c>
      <c r="C140" s="32">
        <v>28694.25</v>
      </c>
      <c r="D140" s="7">
        <v>47351.212073093302</v>
      </c>
      <c r="E140">
        <f>C140+C141</f>
        <v>83630.25</v>
      </c>
      <c r="F140" s="7">
        <f>D140+D141</f>
        <v>137712.3625225974</v>
      </c>
      <c r="H140" s="4" t="s">
        <v>194</v>
      </c>
      <c r="I140" s="36">
        <v>106055</v>
      </c>
      <c r="J140" s="32">
        <v>48804.75</v>
      </c>
      <c r="K140" s="7">
        <v>80693.984279572003</v>
      </c>
      <c r="M140" s="7"/>
    </row>
    <row r="141" spans="1:19" x14ac:dyDescent="0.3">
      <c r="A141" s="32" t="s">
        <v>188</v>
      </c>
      <c r="B141">
        <v>106049</v>
      </c>
      <c r="C141" s="32">
        <v>54936</v>
      </c>
      <c r="D141" s="7">
        <v>90361.150449504101</v>
      </c>
      <c r="F141" s="7"/>
      <c r="H141" s="4" t="s">
        <v>195</v>
      </c>
      <c r="I141" s="36">
        <v>106056</v>
      </c>
      <c r="J141" s="32">
        <v>48314.25</v>
      </c>
      <c r="K141" s="7">
        <v>80022.653295548895</v>
      </c>
      <c r="L141">
        <f>J141+J142</f>
        <v>98345.25</v>
      </c>
      <c r="M141" s="7">
        <f>K141+K142</f>
        <v>160448.1051815117</v>
      </c>
    </row>
    <row r="142" spans="1:19" x14ac:dyDescent="0.3">
      <c r="A142" s="32" t="s">
        <v>184</v>
      </c>
      <c r="B142">
        <v>106051</v>
      </c>
      <c r="C142" s="32">
        <v>46352.25</v>
      </c>
      <c r="D142" s="7">
        <v>76218.444386084899</v>
      </c>
      <c r="E142">
        <f>C142</f>
        <v>46352.25</v>
      </c>
      <c r="F142" s="7">
        <f>D142</f>
        <v>76218.444386084899</v>
      </c>
      <c r="H142" s="4" t="s">
        <v>196</v>
      </c>
      <c r="I142" s="36">
        <v>106056</v>
      </c>
      <c r="J142" s="32">
        <v>50031</v>
      </c>
      <c r="K142" s="7">
        <v>80425.451885962801</v>
      </c>
      <c r="M142" s="7"/>
    </row>
    <row r="143" spans="1:19" x14ac:dyDescent="0.3">
      <c r="A143" s="32" t="s">
        <v>185</v>
      </c>
      <c r="B143">
        <v>106052</v>
      </c>
      <c r="C143" s="32">
        <v>53709.75</v>
      </c>
      <c r="D143" s="7">
        <v>88973.733082523104</v>
      </c>
      <c r="E143">
        <f>C143+C144</f>
        <v>100062</v>
      </c>
      <c r="F143" s="7">
        <f>D143+D144</f>
        <v>165192.17746860802</v>
      </c>
      <c r="H143" s="4" t="s">
        <v>196</v>
      </c>
      <c r="I143" s="36">
        <v>106057</v>
      </c>
      <c r="J143" s="32">
        <v>50031</v>
      </c>
      <c r="K143" s="7">
        <v>80425.451885962801</v>
      </c>
      <c r="L143">
        <f>J143+J144</f>
        <v>98590.5</v>
      </c>
      <c r="M143" s="7">
        <f>K143+K144</f>
        <v>160492.86058044661</v>
      </c>
      <c r="R143">
        <v>36</v>
      </c>
    </row>
    <row r="144" spans="1:19" x14ac:dyDescent="0.3">
      <c r="A144" s="32" t="s">
        <v>184</v>
      </c>
      <c r="B144">
        <v>106052</v>
      </c>
      <c r="C144" s="32">
        <v>46352.25</v>
      </c>
      <c r="D144" s="7">
        <v>76218.444386084899</v>
      </c>
      <c r="F144" s="7"/>
      <c r="H144" s="4" t="s">
        <v>197</v>
      </c>
      <c r="I144" s="36">
        <v>106057</v>
      </c>
      <c r="J144" s="32">
        <v>48559.5</v>
      </c>
      <c r="K144" s="7">
        <v>80067.408694483805</v>
      </c>
      <c r="M144" s="7"/>
      <c r="R144">
        <v>93</v>
      </c>
    </row>
    <row r="145" spans="1:18" x14ac:dyDescent="0.3">
      <c r="A145" s="32" t="s">
        <v>185</v>
      </c>
      <c r="B145">
        <v>106053</v>
      </c>
      <c r="C145" s="32">
        <v>53709.75</v>
      </c>
      <c r="D145" s="7">
        <v>88973.733082523104</v>
      </c>
      <c r="E145">
        <f>C145+C146</f>
        <v>108155.25</v>
      </c>
      <c r="F145" s="7">
        <f>D145+D146</f>
        <v>179066.3511384179</v>
      </c>
      <c r="H145" s="4" t="s">
        <v>192</v>
      </c>
      <c r="I145" s="36">
        <v>106059</v>
      </c>
      <c r="J145" s="32">
        <v>25015.5</v>
      </c>
      <c r="K145" s="7">
        <v>41309.233216885703</v>
      </c>
      <c r="L145">
        <f>J145+J146</f>
        <v>60086.25</v>
      </c>
      <c r="M145" s="7">
        <f>K145+K146</f>
        <v>99088.4532418038</v>
      </c>
      <c r="R145">
        <v>3196</v>
      </c>
    </row>
    <row r="146" spans="1:18" x14ac:dyDescent="0.3">
      <c r="A146" s="32" t="s">
        <v>186</v>
      </c>
      <c r="B146">
        <v>106053</v>
      </c>
      <c r="C146" s="32">
        <v>54445.5</v>
      </c>
      <c r="D146" s="7">
        <v>90092.618055894796</v>
      </c>
      <c r="F146" s="7"/>
      <c r="H146" s="4" t="s">
        <v>193</v>
      </c>
      <c r="I146" s="36">
        <v>106059</v>
      </c>
      <c r="J146" s="32">
        <v>35070.75</v>
      </c>
      <c r="K146" s="7">
        <v>57779.220024918097</v>
      </c>
      <c r="M146" s="7"/>
      <c r="R146">
        <v>6729</v>
      </c>
    </row>
    <row r="147" spans="1:18" x14ac:dyDescent="0.3">
      <c r="A147" s="32" t="s">
        <v>179</v>
      </c>
      <c r="B147">
        <v>106054</v>
      </c>
      <c r="C147" s="32">
        <v>41398.199999999997</v>
      </c>
      <c r="D147" s="7">
        <v>68601.075487369904</v>
      </c>
      <c r="E147">
        <f>C147</f>
        <v>41398.199999999997</v>
      </c>
      <c r="F147" s="7">
        <f>D147</f>
        <v>68601.075487369904</v>
      </c>
      <c r="H147" s="4" t="s">
        <v>202</v>
      </c>
      <c r="I147" s="36">
        <v>106061</v>
      </c>
      <c r="J147" s="32">
        <v>26683.200000000001</v>
      </c>
      <c r="K147" s="7">
        <v>44254.138466800199</v>
      </c>
      <c r="L147">
        <f>J147+J148</f>
        <v>53366.400000000001</v>
      </c>
      <c r="M147" s="7">
        <f>K147+K148</f>
        <v>88508.276933600398</v>
      </c>
      <c r="R147">
        <v>15773</v>
      </c>
    </row>
    <row r="148" spans="1:18" x14ac:dyDescent="0.3">
      <c r="A148" s="32" t="s">
        <v>178</v>
      </c>
      <c r="B148">
        <v>106059</v>
      </c>
      <c r="C148" s="32">
        <v>25506</v>
      </c>
      <c r="D148" s="7">
        <v>42249.096594518</v>
      </c>
      <c r="E148">
        <f>C148+C149</f>
        <v>66904.2</v>
      </c>
      <c r="F148" s="7">
        <f>D148+D149</f>
        <v>110850.1720818879</v>
      </c>
      <c r="H148" s="4" t="s">
        <v>202</v>
      </c>
      <c r="I148" s="36">
        <v>106061</v>
      </c>
      <c r="J148" s="32">
        <v>26683.200000000001</v>
      </c>
      <c r="K148" s="7">
        <v>44254.138466800199</v>
      </c>
      <c r="M148" s="7"/>
      <c r="R148">
        <v>15851</v>
      </c>
    </row>
    <row r="149" spans="1:18" x14ac:dyDescent="0.3">
      <c r="A149" s="32" t="s">
        <v>179</v>
      </c>
      <c r="B149">
        <v>106059</v>
      </c>
      <c r="C149" s="32">
        <v>41398.199999999997</v>
      </c>
      <c r="D149" s="7">
        <v>68601.075487369904</v>
      </c>
      <c r="F149" s="7"/>
      <c r="H149" s="4" t="s">
        <v>202</v>
      </c>
      <c r="I149" s="36">
        <v>106064</v>
      </c>
      <c r="J149" s="32">
        <v>26683.200000000001</v>
      </c>
      <c r="K149" s="7">
        <v>44254.138466800199</v>
      </c>
      <c r="L149">
        <f>J149+J150</f>
        <v>65432.7</v>
      </c>
      <c r="M149" s="7">
        <f>K149+K150</f>
        <v>107941.0711511213</v>
      </c>
      <c r="R149">
        <v>19564</v>
      </c>
    </row>
    <row r="150" spans="1:18" x14ac:dyDescent="0.3">
      <c r="A150" s="32" t="s">
        <v>190</v>
      </c>
      <c r="B150">
        <v>106061</v>
      </c>
      <c r="C150" s="32">
        <v>49785.75</v>
      </c>
      <c r="D150" s="7">
        <v>82215.667843357602</v>
      </c>
      <c r="E150">
        <f>C150+C151</f>
        <v>78480</v>
      </c>
      <c r="F150" s="7">
        <f>D150+D151</f>
        <v>129566.87991645091</v>
      </c>
      <c r="H150" s="4" t="s">
        <v>203</v>
      </c>
      <c r="I150" s="36">
        <v>106064</v>
      </c>
      <c r="J150" s="32">
        <v>38749.5</v>
      </c>
      <c r="K150" s="7">
        <v>63686.932684321102</v>
      </c>
      <c r="M150" s="7"/>
      <c r="R150">
        <v>20248</v>
      </c>
    </row>
    <row r="151" spans="1:18" x14ac:dyDescent="0.3">
      <c r="A151" s="32" t="s">
        <v>189</v>
      </c>
      <c r="B151">
        <v>106061</v>
      </c>
      <c r="C151" s="32">
        <v>28694.25</v>
      </c>
      <c r="D151" s="7">
        <v>47351.212073093302</v>
      </c>
      <c r="F151" s="7"/>
      <c r="H151" s="4" t="s">
        <v>201</v>
      </c>
      <c r="I151" s="36">
        <v>106067</v>
      </c>
      <c r="J151" s="32">
        <v>31980.6</v>
      </c>
      <c r="K151" s="7">
        <v>52918.783700591201</v>
      </c>
      <c r="L151">
        <f>J151</f>
        <v>31980.6</v>
      </c>
      <c r="M151" s="7">
        <f>K151</f>
        <v>52918.783700591201</v>
      </c>
      <c r="R151">
        <v>28112</v>
      </c>
    </row>
    <row r="152" spans="1:18" x14ac:dyDescent="0.3">
      <c r="A152" s="32" t="s">
        <v>190</v>
      </c>
      <c r="B152">
        <v>106062</v>
      </c>
      <c r="C152" s="32">
        <v>49785.75</v>
      </c>
      <c r="D152" s="7">
        <v>82215.667843357602</v>
      </c>
      <c r="E152">
        <f>C152+C153</f>
        <v>81766.350000000006</v>
      </c>
      <c r="F152" s="7">
        <f>D152+D153</f>
        <v>135241.8645013925</v>
      </c>
      <c r="H152" s="4" t="s">
        <v>199</v>
      </c>
      <c r="I152" s="36">
        <v>106077</v>
      </c>
      <c r="J152" s="32">
        <v>37670.400000000001</v>
      </c>
      <c r="K152" s="7">
        <v>62585.949870523298</v>
      </c>
      <c r="L152">
        <f>J152</f>
        <v>37670.400000000001</v>
      </c>
      <c r="M152" s="7">
        <f>K152</f>
        <v>62585.949870523298</v>
      </c>
      <c r="R152">
        <v>36800</v>
      </c>
    </row>
    <row r="153" spans="1:18" x14ac:dyDescent="0.3">
      <c r="A153" s="32" t="s">
        <v>191</v>
      </c>
      <c r="B153" s="36">
        <v>106062</v>
      </c>
      <c r="C153" s="32">
        <v>31980.6</v>
      </c>
      <c r="D153" s="7">
        <v>53026.196658034904</v>
      </c>
      <c r="F153" s="7"/>
      <c r="H153" s="4" t="s">
        <v>200</v>
      </c>
      <c r="I153" s="36">
        <v>106078</v>
      </c>
      <c r="J153" s="32">
        <v>37114.5</v>
      </c>
      <c r="K153" s="7">
        <v>60061.745370596604</v>
      </c>
      <c r="L153">
        <f>J153+J154</f>
        <v>74784.899999999994</v>
      </c>
      <c r="M153" s="7">
        <f>K153+K154</f>
        <v>122647.6952411199</v>
      </c>
      <c r="R153">
        <v>44966</v>
      </c>
    </row>
    <row r="154" spans="1:18" x14ac:dyDescent="0.3">
      <c r="A154" s="32" t="s">
        <v>180</v>
      </c>
      <c r="B154" s="36">
        <v>106072</v>
      </c>
      <c r="C154" s="32">
        <v>27713.25</v>
      </c>
      <c r="D154" s="7">
        <v>45963.794706112298</v>
      </c>
      <c r="E154">
        <f>C154+C155</f>
        <v>69111.45</v>
      </c>
      <c r="F154" s="7">
        <f>D154+D155</f>
        <v>114564.8701934822</v>
      </c>
      <c r="H154" s="4" t="s">
        <v>199</v>
      </c>
      <c r="I154" s="37">
        <v>106078</v>
      </c>
      <c r="J154" s="32">
        <v>37670.400000000001</v>
      </c>
      <c r="K154" s="7">
        <v>62585.949870523298</v>
      </c>
      <c r="M154" s="7"/>
      <c r="R154">
        <v>53286</v>
      </c>
    </row>
    <row r="155" spans="1:18" x14ac:dyDescent="0.3">
      <c r="A155" s="32" t="s">
        <v>179</v>
      </c>
      <c r="B155" s="36">
        <v>106072</v>
      </c>
      <c r="C155" s="32">
        <v>41398.199999999997</v>
      </c>
      <c r="D155" s="7">
        <v>68601.075487369904</v>
      </c>
      <c r="F155" s="7"/>
      <c r="H155" s="4" t="s">
        <v>200</v>
      </c>
      <c r="I155" s="36">
        <v>106079</v>
      </c>
      <c r="J155" s="32">
        <v>37114.5</v>
      </c>
      <c r="K155" s="7">
        <v>60061.745370596604</v>
      </c>
      <c r="L155">
        <f>J155+J156</f>
        <v>69095.100000000006</v>
      </c>
      <c r="M155" s="7">
        <f>K155+K156</f>
        <v>112980.5290711878</v>
      </c>
      <c r="R155">
        <v>61494</v>
      </c>
    </row>
    <row r="156" spans="1:18" x14ac:dyDescent="0.3">
      <c r="A156" s="32" t="s">
        <v>181</v>
      </c>
      <c r="B156">
        <v>106073</v>
      </c>
      <c r="C156" s="32">
        <v>36542.25</v>
      </c>
      <c r="D156" s="7">
        <v>60777.831753554499</v>
      </c>
      <c r="E156">
        <f>C156+C157</f>
        <v>64255.5</v>
      </c>
      <c r="F156" s="7">
        <f>D156+D157</f>
        <v>106741.62645966679</v>
      </c>
      <c r="H156" s="4" t="s">
        <v>201</v>
      </c>
      <c r="I156" s="36">
        <v>106079</v>
      </c>
      <c r="J156" s="32">
        <v>31980.6</v>
      </c>
      <c r="K156" s="7">
        <v>52918.783700591201</v>
      </c>
      <c r="M156" s="7"/>
      <c r="R156">
        <v>69565</v>
      </c>
    </row>
    <row r="157" spans="1:18" x14ac:dyDescent="0.3">
      <c r="A157" s="32" t="s">
        <v>180</v>
      </c>
      <c r="B157">
        <v>106073</v>
      </c>
      <c r="C157" s="32">
        <v>27713.25</v>
      </c>
      <c r="D157" s="7">
        <v>45963.794706112298</v>
      </c>
      <c r="F157" s="7"/>
      <c r="H157" s="4" t="s">
        <v>200</v>
      </c>
      <c r="I157" s="36">
        <v>106080</v>
      </c>
      <c r="J157" s="38">
        <v>37114.5</v>
      </c>
      <c r="K157" s="7">
        <v>60061.745370596604</v>
      </c>
      <c r="L157">
        <f>J157</f>
        <v>37114.5</v>
      </c>
      <c r="M157" s="7">
        <f>K157</f>
        <v>60061.745370596604</v>
      </c>
      <c r="R157">
        <v>75327</v>
      </c>
    </row>
    <row r="158" spans="1:18" x14ac:dyDescent="0.3">
      <c r="A158" s="32" t="s">
        <v>182</v>
      </c>
      <c r="B158">
        <v>106074</v>
      </c>
      <c r="C158" s="32">
        <v>38259</v>
      </c>
      <c r="D158" s="7">
        <v>60912.097950359101</v>
      </c>
      <c r="E158">
        <f>C158+C159</f>
        <v>74801.25</v>
      </c>
      <c r="F158" s="7">
        <f>D158+D159</f>
        <v>121689.9297039136</v>
      </c>
      <c r="H158" s="4" t="s">
        <v>192</v>
      </c>
      <c r="I158" s="39"/>
      <c r="J158" s="40"/>
      <c r="K158" s="7">
        <f>SUM(K105:K157)</f>
        <v>3395860.6495822552</v>
      </c>
      <c r="M158" s="7">
        <f>SUM(M105:M157)</f>
        <v>3395860.6495822538</v>
      </c>
      <c r="R158">
        <v>84766</v>
      </c>
    </row>
    <row r="159" spans="1:18" x14ac:dyDescent="0.3">
      <c r="A159" s="32" t="s">
        <v>181</v>
      </c>
      <c r="B159">
        <v>106074</v>
      </c>
      <c r="C159" s="32">
        <v>36542.25</v>
      </c>
      <c r="D159" s="7">
        <v>60777.831753554499</v>
      </c>
      <c r="F159" s="7"/>
      <c r="H159" s="4" t="s">
        <v>193</v>
      </c>
      <c r="I159" s="39"/>
      <c r="J159" s="41"/>
      <c r="K159" s="7"/>
      <c r="M159" s="7"/>
      <c r="R159">
        <v>89699</v>
      </c>
    </row>
    <row r="160" spans="1:18" x14ac:dyDescent="0.3">
      <c r="A160" s="32" t="s">
        <v>183</v>
      </c>
      <c r="B160">
        <v>106075</v>
      </c>
      <c r="C160" s="32">
        <v>36542.25</v>
      </c>
      <c r="D160" s="7">
        <v>60688.320955684801</v>
      </c>
      <c r="E160">
        <f>C160+C161</f>
        <v>74801.25</v>
      </c>
      <c r="F160" s="7">
        <f>D160+D161</f>
        <v>121600.41890604389</v>
      </c>
      <c r="H160" s="4" t="s">
        <v>194</v>
      </c>
      <c r="I160" s="39"/>
      <c r="J160" s="40"/>
      <c r="K160" s="7"/>
      <c r="M160" s="7"/>
      <c r="R160">
        <v>95601</v>
      </c>
    </row>
    <row r="161" spans="1:18" x14ac:dyDescent="0.3">
      <c r="A161" s="32" t="s">
        <v>182</v>
      </c>
      <c r="B161">
        <v>106075</v>
      </c>
      <c r="C161" s="32">
        <v>38259</v>
      </c>
      <c r="D161" s="7">
        <v>60912.097950359101</v>
      </c>
      <c r="F161" s="7"/>
      <c r="H161" s="4" t="s">
        <v>195</v>
      </c>
      <c r="I161" s="39"/>
      <c r="J161" s="40"/>
      <c r="K161" s="7"/>
      <c r="M161" s="7"/>
      <c r="R161">
        <v>99676</v>
      </c>
    </row>
    <row r="162" spans="1:18" x14ac:dyDescent="0.3">
      <c r="A162" s="32" t="s">
        <v>183</v>
      </c>
      <c r="B162">
        <v>106076</v>
      </c>
      <c r="C162" s="38">
        <v>36542.25</v>
      </c>
      <c r="D162" s="7">
        <v>60688.320955684801</v>
      </c>
      <c r="E162">
        <f>C162</f>
        <v>36542.25</v>
      </c>
      <c r="F162" s="7">
        <f>D162</f>
        <v>60688.320955684801</v>
      </c>
      <c r="H162" s="4" t="s">
        <v>196</v>
      </c>
      <c r="I162" s="39"/>
      <c r="J162" s="40"/>
      <c r="K162" s="7"/>
      <c r="M162" s="7"/>
      <c r="R162">
        <v>100853</v>
      </c>
    </row>
    <row r="163" spans="1:18" x14ac:dyDescent="0.3">
      <c r="A163" s="32" t="s">
        <v>178</v>
      </c>
      <c r="B163" s="35"/>
      <c r="C163" s="40"/>
      <c r="D163" s="7">
        <f>SUM(D105:D162)</f>
        <v>3932209.3504177448</v>
      </c>
      <c r="H163" s="4" t="s">
        <v>197</v>
      </c>
      <c r="I163" s="39"/>
      <c r="J163" s="40"/>
      <c r="K163" s="7"/>
      <c r="R163">
        <v>106047</v>
      </c>
    </row>
    <row r="164" spans="1:18" x14ac:dyDescent="0.3">
      <c r="A164" s="32" t="s">
        <v>180</v>
      </c>
      <c r="B164" s="35"/>
      <c r="C164" s="40"/>
      <c r="D164" s="7"/>
      <c r="H164" s="4" t="s">
        <v>198</v>
      </c>
      <c r="I164" s="39"/>
      <c r="J164" s="40"/>
      <c r="K164" s="7"/>
      <c r="R164">
        <v>106048</v>
      </c>
    </row>
    <row r="165" spans="1:18" x14ac:dyDescent="0.3">
      <c r="A165" s="32" t="s">
        <v>181</v>
      </c>
      <c r="B165" s="35"/>
      <c r="C165" s="40"/>
      <c r="D165" s="7"/>
      <c r="H165" s="4" t="s">
        <v>203</v>
      </c>
      <c r="I165" s="39"/>
      <c r="J165" s="40"/>
      <c r="K165" s="7"/>
      <c r="R165">
        <v>106049</v>
      </c>
    </row>
    <row r="166" spans="1:18" x14ac:dyDescent="0.3">
      <c r="A166" s="32" t="s">
        <v>182</v>
      </c>
      <c r="B166" s="35"/>
      <c r="C166" s="40"/>
      <c r="D166" s="7"/>
      <c r="H166" s="4" t="s">
        <v>192</v>
      </c>
      <c r="I166" s="40"/>
      <c r="J166" s="40"/>
      <c r="K166" s="7"/>
      <c r="R166">
        <v>106051</v>
      </c>
    </row>
    <row r="167" spans="1:18" x14ac:dyDescent="0.3">
      <c r="A167" s="32" t="s">
        <v>183</v>
      </c>
      <c r="B167" s="35"/>
      <c r="C167" s="40"/>
      <c r="D167" s="7"/>
      <c r="H167" s="4" t="s">
        <v>193</v>
      </c>
      <c r="I167" s="40"/>
      <c r="J167" s="40"/>
      <c r="K167" s="7"/>
      <c r="R167">
        <v>106052</v>
      </c>
    </row>
    <row r="168" spans="1:18" x14ac:dyDescent="0.3">
      <c r="A168" s="32" t="s">
        <v>184</v>
      </c>
      <c r="B168" s="35"/>
      <c r="C168" s="40"/>
      <c r="D168" s="7"/>
      <c r="H168" s="4" t="s">
        <v>194</v>
      </c>
      <c r="I168" s="40"/>
      <c r="J168" s="40"/>
      <c r="K168" s="7"/>
      <c r="R168">
        <v>106053</v>
      </c>
    </row>
    <row r="169" spans="1:18" x14ac:dyDescent="0.3">
      <c r="A169" s="32" t="s">
        <v>185</v>
      </c>
      <c r="B169" s="35"/>
      <c r="C169" s="40"/>
      <c r="D169" s="7"/>
      <c r="H169" s="4" t="s">
        <v>195</v>
      </c>
      <c r="I169" s="40"/>
      <c r="J169" s="40"/>
      <c r="K169" s="7"/>
      <c r="R169">
        <v>106054</v>
      </c>
    </row>
    <row r="170" spans="1:18" x14ac:dyDescent="0.3">
      <c r="A170" s="32" t="s">
        <v>186</v>
      </c>
      <c r="B170" s="35"/>
      <c r="C170" s="40"/>
      <c r="D170" s="7"/>
      <c r="H170" s="4" t="s">
        <v>196</v>
      </c>
      <c r="I170" s="40"/>
      <c r="J170" s="40"/>
      <c r="K170" s="7"/>
      <c r="R170">
        <v>106059</v>
      </c>
    </row>
    <row r="171" spans="1:18" x14ac:dyDescent="0.3">
      <c r="A171" s="32" t="s">
        <v>187</v>
      </c>
      <c r="B171" s="35"/>
      <c r="C171" s="40"/>
      <c r="D171" s="7"/>
      <c r="H171" s="4" t="s">
        <v>197</v>
      </c>
      <c r="I171" s="40"/>
      <c r="J171" s="40"/>
      <c r="K171" s="7"/>
      <c r="R171">
        <v>106061</v>
      </c>
    </row>
    <row r="172" spans="1:18" x14ac:dyDescent="0.3">
      <c r="A172" s="32" t="s">
        <v>188</v>
      </c>
      <c r="B172" s="35"/>
      <c r="C172" s="40"/>
      <c r="D172" s="7"/>
      <c r="H172" s="4" t="s">
        <v>198</v>
      </c>
      <c r="I172" s="40"/>
      <c r="J172" s="40"/>
      <c r="K172" s="7"/>
      <c r="R172">
        <v>106062</v>
      </c>
    </row>
    <row r="173" spans="1:18" x14ac:dyDescent="0.3">
      <c r="A173" s="32" t="s">
        <v>189</v>
      </c>
      <c r="B173" s="35"/>
      <c r="C173" s="40"/>
      <c r="D173" s="7"/>
      <c r="H173" s="4" t="s">
        <v>199</v>
      </c>
      <c r="I173" s="15"/>
      <c r="J173" s="40"/>
      <c r="K173" s="7"/>
      <c r="R173" s="36">
        <v>106072</v>
      </c>
    </row>
    <row r="174" spans="1:18" x14ac:dyDescent="0.3">
      <c r="A174" s="32" t="s">
        <v>190</v>
      </c>
      <c r="B174" s="35"/>
      <c r="C174" s="40"/>
      <c r="D174" s="7"/>
      <c r="H174" s="4" t="s">
        <v>201</v>
      </c>
      <c r="I174" s="40"/>
      <c r="J174" s="40"/>
      <c r="K174" s="7"/>
      <c r="R174">
        <v>106073</v>
      </c>
    </row>
    <row r="175" spans="1:18" x14ac:dyDescent="0.3">
      <c r="H175" s="4" t="s">
        <v>202</v>
      </c>
      <c r="I175" s="40"/>
      <c r="J175" s="40"/>
      <c r="K175" s="7"/>
      <c r="R175">
        <v>106074</v>
      </c>
    </row>
    <row r="176" spans="1:18" x14ac:dyDescent="0.3">
      <c r="H176" s="4" t="s">
        <v>203</v>
      </c>
      <c r="I176" s="40"/>
      <c r="J176" s="40"/>
      <c r="K176" s="7"/>
      <c r="R176">
        <v>106075</v>
      </c>
    </row>
    <row r="177" spans="1:18" x14ac:dyDescent="0.3">
      <c r="R177">
        <v>106076</v>
      </c>
    </row>
    <row r="178" spans="1:18" x14ac:dyDescent="0.3">
      <c r="R178">
        <f>COUNT(R143:R177)</f>
        <v>35</v>
      </c>
    </row>
    <row r="179" spans="1:18" x14ac:dyDescent="0.3">
      <c r="A179" t="s">
        <v>206</v>
      </c>
      <c r="C179" t="s">
        <v>207</v>
      </c>
      <c r="D179" t="s">
        <v>168</v>
      </c>
      <c r="E179" t="s">
        <v>169</v>
      </c>
      <c r="F179" s="4" t="s">
        <v>170</v>
      </c>
      <c r="G179" s="4" t="s">
        <v>171</v>
      </c>
      <c r="H179" s="4" t="s">
        <v>172</v>
      </c>
      <c r="I179" s="4" t="s">
        <v>173</v>
      </c>
      <c r="J179" s="4" t="s">
        <v>174</v>
      </c>
      <c r="K179" s="4" t="s">
        <v>175</v>
      </c>
      <c r="L179" s="4" t="s">
        <v>176</v>
      </c>
      <c r="M179" s="4" t="s">
        <v>177</v>
      </c>
      <c r="N179" s="4" t="s">
        <v>208</v>
      </c>
    </row>
    <row r="180" spans="1:18" x14ac:dyDescent="0.3">
      <c r="A180" s="10" t="s">
        <v>209</v>
      </c>
      <c r="B180" s="42"/>
      <c r="C180">
        <v>4</v>
      </c>
      <c r="D180" s="32">
        <v>14.2</v>
      </c>
      <c r="E180" s="5">
        <f t="shared" ref="E180:E203" si="3">D180*9810/C180</f>
        <v>34825.5</v>
      </c>
      <c r="F180" s="33">
        <v>28.081860857640201</v>
      </c>
      <c r="G180" s="7">
        <f t="shared" ref="G180:G203" si="4">F180*9810/C180</f>
        <v>68870.763753362597</v>
      </c>
      <c r="H180">
        <v>94710</v>
      </c>
      <c r="I180">
        <v>98579</v>
      </c>
      <c r="J180">
        <v>100188</v>
      </c>
      <c r="K180">
        <v>106081</v>
      </c>
    </row>
    <row r="181" spans="1:18" x14ac:dyDescent="0.3">
      <c r="A181" s="10" t="s">
        <v>210</v>
      </c>
      <c r="B181" s="42"/>
      <c r="C181">
        <v>4</v>
      </c>
      <c r="D181" s="32">
        <v>10.8</v>
      </c>
      <c r="E181" s="5">
        <f t="shared" si="3"/>
        <v>26487</v>
      </c>
      <c r="F181" s="33">
        <v>21.3998628619653</v>
      </c>
      <c r="G181" s="7">
        <f t="shared" si="4"/>
        <v>52483.163668969901</v>
      </c>
      <c r="H181">
        <v>91266</v>
      </c>
      <c r="I181">
        <v>94710</v>
      </c>
      <c r="J181">
        <v>106081</v>
      </c>
      <c r="K181">
        <v>106100</v>
      </c>
    </row>
    <row r="182" spans="1:18" x14ac:dyDescent="0.3">
      <c r="A182" s="10" t="s">
        <v>211</v>
      </c>
      <c r="B182" s="42"/>
      <c r="C182">
        <v>4</v>
      </c>
      <c r="D182" s="32">
        <v>22.4</v>
      </c>
      <c r="E182" s="5">
        <f t="shared" si="3"/>
        <v>54936</v>
      </c>
      <c r="F182" s="33">
        <v>43.782372488000398</v>
      </c>
      <c r="G182" s="7">
        <f t="shared" si="4"/>
        <v>107376.26852682098</v>
      </c>
      <c r="H182">
        <v>84767</v>
      </c>
      <c r="I182">
        <v>91266</v>
      </c>
      <c r="J182">
        <v>106100</v>
      </c>
      <c r="K182">
        <v>106101</v>
      </c>
    </row>
    <row r="183" spans="1:18" x14ac:dyDescent="0.3">
      <c r="A183" s="10" t="s">
        <v>212</v>
      </c>
      <c r="B183" s="42"/>
      <c r="C183">
        <v>4</v>
      </c>
      <c r="D183" s="32">
        <v>22.3</v>
      </c>
      <c r="E183" s="5">
        <f t="shared" si="3"/>
        <v>54690.75</v>
      </c>
      <c r="F183" s="33">
        <v>44.000738435571499</v>
      </c>
      <c r="G183" s="7">
        <f t="shared" si="4"/>
        <v>107911.8110132391</v>
      </c>
      <c r="H183">
        <v>75772</v>
      </c>
      <c r="I183">
        <v>84767</v>
      </c>
      <c r="J183">
        <v>106101</v>
      </c>
      <c r="K183">
        <v>106102</v>
      </c>
    </row>
    <row r="184" spans="1:18" x14ac:dyDescent="0.3">
      <c r="A184" s="10" t="s">
        <v>213</v>
      </c>
      <c r="B184" s="42"/>
      <c r="C184">
        <v>4</v>
      </c>
      <c r="D184" s="32">
        <v>23</v>
      </c>
      <c r="E184" s="5">
        <f t="shared" si="3"/>
        <v>56407.5</v>
      </c>
      <c r="F184" s="33">
        <v>44.131758004114097</v>
      </c>
      <c r="G184" s="7">
        <f t="shared" si="4"/>
        <v>108233.13650508982</v>
      </c>
      <c r="H184">
        <v>75772</v>
      </c>
      <c r="I184">
        <v>106097</v>
      </c>
      <c r="J184">
        <v>106102</v>
      </c>
      <c r="K184">
        <v>106103</v>
      </c>
    </row>
    <row r="185" spans="1:18" x14ac:dyDescent="0.3">
      <c r="A185" s="10" t="s">
        <v>214</v>
      </c>
      <c r="B185" s="42"/>
      <c r="C185">
        <v>4</v>
      </c>
      <c r="D185" s="32">
        <v>22.2</v>
      </c>
      <c r="E185" s="5">
        <f t="shared" si="3"/>
        <v>54445.5</v>
      </c>
      <c r="F185" s="33">
        <v>43.8260456775146</v>
      </c>
      <c r="G185" s="7">
        <f t="shared" si="4"/>
        <v>107483.37702410456</v>
      </c>
      <c r="H185">
        <v>106096</v>
      </c>
      <c r="I185">
        <v>106098</v>
      </c>
      <c r="J185">
        <v>106097</v>
      </c>
      <c r="K185">
        <v>106103</v>
      </c>
    </row>
    <row r="186" spans="1:18" x14ac:dyDescent="0.3">
      <c r="A186" s="10" t="s">
        <v>215</v>
      </c>
      <c r="B186" s="42"/>
      <c r="C186">
        <v>4</v>
      </c>
      <c r="D186" s="32">
        <v>21.1</v>
      </c>
      <c r="E186" s="5">
        <f t="shared" si="3"/>
        <v>51747.75</v>
      </c>
      <c r="F186" s="33">
        <v>41.249327496176001</v>
      </c>
      <c r="G186" s="7">
        <f t="shared" si="4"/>
        <v>101163.97568437165</v>
      </c>
      <c r="H186">
        <v>106095</v>
      </c>
      <c r="I186">
        <v>106096</v>
      </c>
      <c r="J186">
        <v>106098</v>
      </c>
      <c r="K186">
        <v>106099</v>
      </c>
    </row>
    <row r="187" spans="1:18" x14ac:dyDescent="0.3">
      <c r="A187" s="10" t="s">
        <v>216</v>
      </c>
      <c r="B187" s="42"/>
      <c r="C187">
        <v>4</v>
      </c>
      <c r="D187" s="32">
        <v>16.8</v>
      </c>
      <c r="E187" s="5">
        <f t="shared" si="3"/>
        <v>41202</v>
      </c>
      <c r="F187" s="33">
        <v>32.951421488475098</v>
      </c>
      <c r="G187" s="7">
        <f t="shared" si="4"/>
        <v>80813.361200485175</v>
      </c>
      <c r="H187">
        <v>47105</v>
      </c>
      <c r="I187">
        <v>106095</v>
      </c>
      <c r="J187">
        <v>106088</v>
      </c>
      <c r="K187">
        <v>106099</v>
      </c>
    </row>
    <row r="188" spans="1:18" x14ac:dyDescent="0.3">
      <c r="A188" s="10" t="s">
        <v>217</v>
      </c>
      <c r="B188" s="42"/>
      <c r="C188">
        <v>4</v>
      </c>
      <c r="D188" s="10">
        <v>14.7</v>
      </c>
      <c r="E188" s="5">
        <f t="shared" si="3"/>
        <v>36051.75</v>
      </c>
      <c r="F188" s="33">
        <v>29.130017405981299</v>
      </c>
      <c r="G188" s="7">
        <f t="shared" si="4"/>
        <v>71441.367688169135</v>
      </c>
      <c r="H188">
        <v>38849</v>
      </c>
      <c r="I188">
        <v>47105</v>
      </c>
      <c r="J188">
        <v>106082</v>
      </c>
      <c r="K188">
        <v>106083</v>
      </c>
    </row>
    <row r="189" spans="1:18" x14ac:dyDescent="0.3">
      <c r="A189" s="10" t="s">
        <v>218</v>
      </c>
      <c r="B189" s="42"/>
      <c r="C189">
        <v>4</v>
      </c>
      <c r="D189" s="10">
        <v>17.8</v>
      </c>
      <c r="E189" s="5">
        <f t="shared" si="3"/>
        <v>43654.5</v>
      </c>
      <c r="F189" s="33">
        <v>34.217943984387396</v>
      </c>
      <c r="G189" s="7">
        <f t="shared" si="4"/>
        <v>83919.507621710087</v>
      </c>
      <c r="H189">
        <v>28136</v>
      </c>
      <c r="I189">
        <v>38849</v>
      </c>
      <c r="J189">
        <v>106082</v>
      </c>
      <c r="K189">
        <v>106084</v>
      </c>
    </row>
    <row r="190" spans="1:18" x14ac:dyDescent="0.3">
      <c r="A190" s="10" t="s">
        <v>219</v>
      </c>
      <c r="B190" s="42"/>
      <c r="C190">
        <v>5</v>
      </c>
      <c r="D190" s="10">
        <v>17.8</v>
      </c>
      <c r="E190" s="5">
        <f t="shared" si="3"/>
        <v>34923.599999999999</v>
      </c>
      <c r="F190" s="33">
        <v>35.418956696028303</v>
      </c>
      <c r="G190" s="7">
        <f t="shared" si="4"/>
        <v>69491.993037607535</v>
      </c>
      <c r="H190">
        <v>20255</v>
      </c>
      <c r="I190">
        <v>28136</v>
      </c>
      <c r="J190">
        <v>106084</v>
      </c>
      <c r="K190">
        <v>19032</v>
      </c>
      <c r="L190">
        <v>106085</v>
      </c>
    </row>
    <row r="191" spans="1:18" x14ac:dyDescent="0.3">
      <c r="A191" s="10" t="s">
        <v>220</v>
      </c>
      <c r="B191" s="42"/>
      <c r="C191">
        <v>5</v>
      </c>
      <c r="D191" s="10">
        <v>21.6</v>
      </c>
      <c r="E191" s="5">
        <f t="shared" si="3"/>
        <v>42379.199999999997</v>
      </c>
      <c r="F191" s="33">
        <v>42.319320639274203</v>
      </c>
      <c r="G191" s="7">
        <f t="shared" si="4"/>
        <v>83030.507094255983</v>
      </c>
      <c r="H191">
        <v>5325</v>
      </c>
      <c r="I191">
        <v>5880</v>
      </c>
      <c r="J191">
        <v>14339</v>
      </c>
      <c r="K191">
        <v>106086</v>
      </c>
      <c r="L191">
        <v>18148</v>
      </c>
    </row>
    <row r="192" spans="1:18" x14ac:dyDescent="0.3">
      <c r="A192" s="43" t="s">
        <v>221</v>
      </c>
      <c r="B192" s="44"/>
      <c r="C192" s="45">
        <v>4</v>
      </c>
      <c r="D192" s="43">
        <v>13.3</v>
      </c>
      <c r="E192" s="46">
        <f t="shared" si="3"/>
        <v>32618.25</v>
      </c>
      <c r="F192" s="47">
        <v>26.2694234928003</v>
      </c>
      <c r="G192" s="48">
        <f t="shared" si="4"/>
        <v>64425.761116092734</v>
      </c>
      <c r="H192" s="49">
        <v>100188</v>
      </c>
      <c r="I192" s="49">
        <v>106104</v>
      </c>
      <c r="J192" s="49">
        <v>94792</v>
      </c>
      <c r="K192" s="49">
        <v>100152</v>
      </c>
      <c r="L192" s="49"/>
      <c r="M192" s="49"/>
      <c r="N192" s="49"/>
    </row>
    <row r="193" spans="1:28" x14ac:dyDescent="0.3">
      <c r="A193" s="43" t="s">
        <v>222</v>
      </c>
      <c r="B193" s="44"/>
      <c r="C193" s="45">
        <v>4</v>
      </c>
      <c r="D193" s="43">
        <v>9.6</v>
      </c>
      <c r="E193" s="46">
        <f t="shared" si="3"/>
        <v>23544</v>
      </c>
      <c r="F193" s="47">
        <v>19.0633472229548</v>
      </c>
      <c r="G193" s="48">
        <f t="shared" si="4"/>
        <v>46752.859064296645</v>
      </c>
      <c r="H193" s="49">
        <v>106041</v>
      </c>
      <c r="I193" s="49">
        <v>91405</v>
      </c>
      <c r="J193" s="49">
        <v>94792</v>
      </c>
      <c r="K193" s="49">
        <v>106104</v>
      </c>
      <c r="L193" s="49"/>
      <c r="M193" s="49"/>
      <c r="N193" s="49"/>
    </row>
    <row r="194" spans="1:28" x14ac:dyDescent="0.3">
      <c r="A194" s="43" t="s">
        <v>223</v>
      </c>
      <c r="B194" s="44"/>
      <c r="C194" s="45">
        <v>4</v>
      </c>
      <c r="D194" s="43">
        <v>16.7</v>
      </c>
      <c r="E194" s="46">
        <f t="shared" si="3"/>
        <v>40956.75</v>
      </c>
      <c r="F194" s="47">
        <v>33.235297220317499</v>
      </c>
      <c r="G194" s="48">
        <f t="shared" si="4"/>
        <v>81509.566432828666</v>
      </c>
      <c r="H194" s="49">
        <v>106041</v>
      </c>
      <c r="I194" s="49">
        <v>91405</v>
      </c>
      <c r="J194" s="49">
        <v>85014</v>
      </c>
      <c r="K194" s="49">
        <v>106042</v>
      </c>
      <c r="L194" s="49"/>
      <c r="M194" s="49"/>
      <c r="N194" s="49"/>
    </row>
    <row r="195" spans="1:28" x14ac:dyDescent="0.3">
      <c r="A195" s="43" t="s">
        <v>224</v>
      </c>
      <c r="B195" s="44"/>
      <c r="C195" s="45">
        <v>4</v>
      </c>
      <c r="D195" s="43">
        <v>12.4</v>
      </c>
      <c r="E195" s="46">
        <f t="shared" si="3"/>
        <v>30411</v>
      </c>
      <c r="F195" s="47">
        <v>24.631678886017198</v>
      </c>
      <c r="G195" s="48">
        <f t="shared" si="4"/>
        <v>60409.192467957182</v>
      </c>
      <c r="H195" s="49">
        <v>106106</v>
      </c>
      <c r="I195" s="49">
        <v>76003</v>
      </c>
      <c r="J195" s="49">
        <v>85014</v>
      </c>
      <c r="K195" s="49">
        <v>106105</v>
      </c>
      <c r="L195" s="49"/>
      <c r="M195" s="49"/>
      <c r="N195" s="49"/>
    </row>
    <row r="196" spans="1:28" x14ac:dyDescent="0.3">
      <c r="A196" s="43" t="s">
        <v>225</v>
      </c>
      <c r="B196" s="44"/>
      <c r="C196" s="45">
        <v>4</v>
      </c>
      <c r="D196" s="43">
        <v>13.2</v>
      </c>
      <c r="E196" s="46">
        <f t="shared" si="3"/>
        <v>32373</v>
      </c>
      <c r="F196" s="47">
        <v>24.544332506988798</v>
      </c>
      <c r="G196" s="48">
        <f t="shared" si="4"/>
        <v>60194.975473390026</v>
      </c>
      <c r="H196" s="49">
        <v>106093</v>
      </c>
      <c r="I196" s="49">
        <v>106106</v>
      </c>
      <c r="J196" s="49">
        <v>76003</v>
      </c>
      <c r="K196" s="49">
        <v>69835</v>
      </c>
      <c r="L196" s="49"/>
      <c r="M196" s="49"/>
      <c r="N196" s="49"/>
    </row>
    <row r="197" spans="1:28" x14ac:dyDescent="0.3">
      <c r="A197" s="43" t="s">
        <v>226</v>
      </c>
      <c r="B197" s="44"/>
      <c r="C197" s="45">
        <v>4</v>
      </c>
      <c r="D197" s="43">
        <v>12.2</v>
      </c>
      <c r="E197" s="46">
        <f t="shared" si="3"/>
        <v>29920.5</v>
      </c>
      <c r="F197" s="47">
        <v>24.238620180389301</v>
      </c>
      <c r="G197" s="48">
        <f t="shared" si="4"/>
        <v>59445.215992404759</v>
      </c>
      <c r="H197" s="49">
        <v>61765</v>
      </c>
      <c r="I197" s="49">
        <v>106094</v>
      </c>
      <c r="J197" s="49">
        <v>106093</v>
      </c>
      <c r="K197" s="49">
        <v>69835</v>
      </c>
      <c r="L197" s="49"/>
      <c r="M197" s="49"/>
      <c r="N197" s="49"/>
    </row>
    <row r="198" spans="1:28" x14ac:dyDescent="0.3">
      <c r="A198" s="43" t="s">
        <v>227</v>
      </c>
      <c r="B198" s="44"/>
      <c r="C198" s="45">
        <v>4</v>
      </c>
      <c r="D198" s="43">
        <v>16.8</v>
      </c>
      <c r="E198" s="46">
        <f t="shared" si="3"/>
        <v>41202</v>
      </c>
      <c r="F198" s="47">
        <v>33.082441057017803</v>
      </c>
      <c r="G198" s="48">
        <f t="shared" si="4"/>
        <v>81134.686692336167</v>
      </c>
      <c r="H198" s="49">
        <v>106035</v>
      </c>
      <c r="I198" s="49">
        <v>106045</v>
      </c>
      <c r="J198" s="49">
        <v>61765</v>
      </c>
      <c r="K198" s="49">
        <v>53005</v>
      </c>
      <c r="L198" s="49"/>
      <c r="M198" s="49"/>
      <c r="N198" s="49"/>
    </row>
    <row r="199" spans="1:28" x14ac:dyDescent="0.3">
      <c r="A199" s="43" t="s">
        <v>228</v>
      </c>
      <c r="B199" s="44"/>
      <c r="C199" s="45">
        <v>4</v>
      </c>
      <c r="D199" s="43">
        <v>19.899999999999999</v>
      </c>
      <c r="E199" s="46">
        <f t="shared" si="3"/>
        <v>48804.75</v>
      </c>
      <c r="F199" s="47">
        <v>38.628936125323101</v>
      </c>
      <c r="G199" s="48">
        <f t="shared" si="4"/>
        <v>94737.465847354906</v>
      </c>
      <c r="H199" s="49">
        <v>106036</v>
      </c>
      <c r="I199" s="49">
        <v>106035</v>
      </c>
      <c r="J199" s="49">
        <v>53005</v>
      </c>
      <c r="K199" s="49">
        <v>45234</v>
      </c>
      <c r="L199" s="49"/>
      <c r="M199" s="49"/>
      <c r="N199" s="49"/>
    </row>
    <row r="200" spans="1:28" x14ac:dyDescent="0.3">
      <c r="A200" s="43" t="s">
        <v>229</v>
      </c>
      <c r="B200" s="44"/>
      <c r="C200" s="45">
        <v>4</v>
      </c>
      <c r="D200" s="43">
        <v>20.2</v>
      </c>
      <c r="E200" s="46">
        <f t="shared" si="3"/>
        <v>49540.5</v>
      </c>
      <c r="F200" s="47">
        <v>39.742602457935497</v>
      </c>
      <c r="G200" s="48">
        <f t="shared" si="4"/>
        <v>97468.73252808681</v>
      </c>
      <c r="H200" s="49">
        <v>106037</v>
      </c>
      <c r="I200" s="49">
        <v>37097</v>
      </c>
      <c r="J200" s="49">
        <v>45234</v>
      </c>
      <c r="K200" s="49">
        <v>106036</v>
      </c>
      <c r="L200" s="49"/>
      <c r="M200" s="49"/>
      <c r="N200" s="49"/>
    </row>
    <row r="201" spans="1:28" x14ac:dyDescent="0.3">
      <c r="A201" s="43" t="s">
        <v>230</v>
      </c>
      <c r="B201" s="44"/>
      <c r="C201" s="45">
        <v>4</v>
      </c>
      <c r="D201" s="43">
        <v>20.399999999999999</v>
      </c>
      <c r="E201" s="46">
        <f t="shared" si="3"/>
        <v>50031</v>
      </c>
      <c r="F201" s="47">
        <v>39.240360778522103</v>
      </c>
      <c r="G201" s="48">
        <f t="shared" si="4"/>
        <v>96236.984809325455</v>
      </c>
      <c r="H201" s="49">
        <v>106038</v>
      </c>
      <c r="I201" s="49">
        <v>106037</v>
      </c>
      <c r="J201" s="49">
        <v>37097</v>
      </c>
      <c r="K201" s="49">
        <v>29107</v>
      </c>
      <c r="L201" s="49"/>
      <c r="M201" s="49"/>
      <c r="N201" s="49"/>
    </row>
    <row r="202" spans="1:28" x14ac:dyDescent="0.3">
      <c r="A202" s="43" t="s">
        <v>231</v>
      </c>
      <c r="B202" s="44"/>
      <c r="C202" s="45">
        <v>5</v>
      </c>
      <c r="D202" s="43">
        <v>22.9</v>
      </c>
      <c r="E202" s="46">
        <f t="shared" si="3"/>
        <v>44929.8</v>
      </c>
      <c r="F202" s="47">
        <v>44.262777572656802</v>
      </c>
      <c r="G202" s="48">
        <f t="shared" si="4"/>
        <v>86843.569597552647</v>
      </c>
      <c r="H202" s="49">
        <v>20174</v>
      </c>
      <c r="I202" s="49">
        <v>106107</v>
      </c>
      <c r="J202" s="49">
        <v>106038</v>
      </c>
      <c r="K202" s="49">
        <v>27373</v>
      </c>
      <c r="L202" s="49">
        <v>23224</v>
      </c>
      <c r="M202" s="49"/>
      <c r="N202" s="49"/>
    </row>
    <row r="203" spans="1:28" x14ac:dyDescent="0.3">
      <c r="A203" s="43" t="s">
        <v>232</v>
      </c>
      <c r="B203" s="44"/>
      <c r="C203" s="45">
        <v>7</v>
      </c>
      <c r="D203" s="43">
        <v>20.5</v>
      </c>
      <c r="E203" s="46">
        <f t="shared" si="3"/>
        <v>28729.285714285714</v>
      </c>
      <c r="F203" s="47">
        <v>40.550556463948503</v>
      </c>
      <c r="G203" s="48">
        <f t="shared" si="4"/>
        <v>56828.70841590497</v>
      </c>
      <c r="H203" s="49">
        <v>5325</v>
      </c>
      <c r="I203" s="49">
        <v>106040</v>
      </c>
      <c r="J203" s="49">
        <v>106107</v>
      </c>
      <c r="K203" s="49">
        <v>20174</v>
      </c>
      <c r="L203" s="49">
        <v>16550</v>
      </c>
      <c r="M203" s="49">
        <v>8863</v>
      </c>
      <c r="N203" s="49">
        <v>6612</v>
      </c>
    </row>
    <row r="204" spans="1:28" x14ac:dyDescent="0.3">
      <c r="A204" s="10"/>
      <c r="B204" s="10"/>
      <c r="C204" s="10"/>
      <c r="D204" s="10">
        <f>SUM(D180:D203)</f>
        <v>422.7999999999999</v>
      </c>
      <c r="E204" s="4">
        <v>828</v>
      </c>
      <c r="F204" s="34">
        <f>SUM(F180:F203)</f>
        <v>828</v>
      </c>
    </row>
    <row r="207" spans="1:28" x14ac:dyDescent="0.3">
      <c r="A207" s="4" t="s">
        <v>233</v>
      </c>
      <c r="C207" s="4" t="s">
        <v>14</v>
      </c>
      <c r="D207" s="4" t="s">
        <v>103</v>
      </c>
      <c r="H207" s="4" t="s">
        <v>234</v>
      </c>
      <c r="J207" s="4" t="s">
        <v>15</v>
      </c>
      <c r="K207" s="4" t="s">
        <v>105</v>
      </c>
      <c r="P207" t="s">
        <v>233</v>
      </c>
      <c r="T207" t="s">
        <v>14</v>
      </c>
      <c r="U207" t="s">
        <v>103</v>
      </c>
      <c r="W207" t="s">
        <v>234</v>
      </c>
      <c r="AA207" t="s">
        <v>15</v>
      </c>
      <c r="AB207" t="s">
        <v>105</v>
      </c>
    </row>
    <row r="208" spans="1:28" x14ac:dyDescent="0.3">
      <c r="A208" s="10" t="s">
        <v>220</v>
      </c>
      <c r="B208">
        <v>5325</v>
      </c>
      <c r="C208" s="5">
        <v>42379.199999999997</v>
      </c>
      <c r="D208" s="7">
        <v>83030.507094255998</v>
      </c>
      <c r="E208" s="7">
        <f t="shared" ref="E208:F213" si="5">C208</f>
        <v>42379.199999999997</v>
      </c>
      <c r="F208" s="7">
        <f t="shared" si="5"/>
        <v>83030.507094255998</v>
      </c>
      <c r="H208" s="43" t="s">
        <v>232</v>
      </c>
      <c r="I208" s="45">
        <v>5325</v>
      </c>
      <c r="J208" s="46">
        <v>28729.285714285699</v>
      </c>
      <c r="K208" s="48">
        <v>56828.708415904999</v>
      </c>
      <c r="L208" s="7">
        <f t="shared" ref="L208:M211" si="6">J208</f>
        <v>28729.285714285699</v>
      </c>
      <c r="M208" s="7">
        <f t="shared" si="6"/>
        <v>56828.708415904999</v>
      </c>
      <c r="P208" t="s">
        <v>220</v>
      </c>
      <c r="Q208">
        <v>5325</v>
      </c>
      <c r="R208" s="7"/>
      <c r="S208" s="7"/>
      <c r="T208" s="7">
        <v>42379.199999999997</v>
      </c>
      <c r="U208" s="7">
        <v>83030.507094255998</v>
      </c>
      <c r="W208" t="s">
        <v>232</v>
      </c>
      <c r="X208">
        <v>5325</v>
      </c>
      <c r="Y208" s="7"/>
      <c r="Z208" s="7"/>
      <c r="AA208" s="7">
        <v>28729.285714285699</v>
      </c>
      <c r="AB208" s="7">
        <v>56828.708415904999</v>
      </c>
    </row>
    <row r="209" spans="1:28" x14ac:dyDescent="0.3">
      <c r="A209" s="10" t="s">
        <v>220</v>
      </c>
      <c r="B209">
        <v>5880</v>
      </c>
      <c r="C209" s="5">
        <v>42379.199999999997</v>
      </c>
      <c r="D209" s="7">
        <v>83030.507094255998</v>
      </c>
      <c r="E209" s="7">
        <f t="shared" si="5"/>
        <v>42379.199999999997</v>
      </c>
      <c r="F209" s="7">
        <f t="shared" si="5"/>
        <v>83030.507094255998</v>
      </c>
      <c r="H209" s="43" t="s">
        <v>232</v>
      </c>
      <c r="I209">
        <v>6612</v>
      </c>
      <c r="J209" s="46">
        <v>28729.285714285699</v>
      </c>
      <c r="K209" s="48">
        <v>56828.708415904999</v>
      </c>
      <c r="L209" s="7">
        <f t="shared" si="6"/>
        <v>28729.285714285699</v>
      </c>
      <c r="M209" s="7">
        <f t="shared" si="6"/>
        <v>56828.708415904999</v>
      </c>
      <c r="P209" t="s">
        <v>220</v>
      </c>
      <c r="Q209">
        <v>5880</v>
      </c>
      <c r="R209" s="7"/>
      <c r="S209" s="7"/>
      <c r="T209" s="7">
        <v>42379.199999999997</v>
      </c>
      <c r="U209" s="7">
        <v>83030.507094255998</v>
      </c>
      <c r="W209" t="s">
        <v>232</v>
      </c>
      <c r="X209">
        <v>6612</v>
      </c>
      <c r="Y209" s="7"/>
      <c r="Z209" s="7"/>
      <c r="AA209" s="7">
        <v>28729.285714285699</v>
      </c>
      <c r="AB209" s="7">
        <v>56828.708415904999</v>
      </c>
    </row>
    <row r="210" spans="1:28" x14ac:dyDescent="0.3">
      <c r="A210" s="10" t="s">
        <v>220</v>
      </c>
      <c r="B210">
        <v>14339</v>
      </c>
      <c r="C210" s="5">
        <v>42379.199999999997</v>
      </c>
      <c r="D210" s="7">
        <v>83030.507094255998</v>
      </c>
      <c r="E210" s="7">
        <f t="shared" si="5"/>
        <v>42379.199999999997</v>
      </c>
      <c r="F210" s="7">
        <f t="shared" si="5"/>
        <v>83030.507094255998</v>
      </c>
      <c r="H210" s="43" t="s">
        <v>232</v>
      </c>
      <c r="I210">
        <v>8863</v>
      </c>
      <c r="J210" s="46">
        <v>28729.285714285699</v>
      </c>
      <c r="K210" s="48">
        <v>56828.708415904999</v>
      </c>
      <c r="L210" s="7">
        <f t="shared" si="6"/>
        <v>28729.285714285699</v>
      </c>
      <c r="M210" s="7">
        <f t="shared" si="6"/>
        <v>56828.708415904999</v>
      </c>
      <c r="P210" t="s">
        <v>220</v>
      </c>
      <c r="Q210">
        <v>14339</v>
      </c>
      <c r="R210" s="7"/>
      <c r="S210" s="7"/>
      <c r="T210" s="7">
        <v>42379.199999999997</v>
      </c>
      <c r="U210" s="7">
        <v>83030.507094255998</v>
      </c>
      <c r="W210" t="s">
        <v>232</v>
      </c>
      <c r="X210">
        <v>8863</v>
      </c>
      <c r="Y210" s="7"/>
      <c r="Z210" s="7"/>
      <c r="AA210" s="7">
        <v>28729.285714285699</v>
      </c>
      <c r="AB210" s="7">
        <v>56828.708415904999</v>
      </c>
    </row>
    <row r="211" spans="1:28" x14ac:dyDescent="0.3">
      <c r="A211" s="10" t="s">
        <v>220</v>
      </c>
      <c r="B211">
        <v>18148</v>
      </c>
      <c r="C211" s="5">
        <v>42379.199999999997</v>
      </c>
      <c r="D211" s="7">
        <v>83030.507094255998</v>
      </c>
      <c r="E211" s="7">
        <f t="shared" si="5"/>
        <v>42379.199999999997</v>
      </c>
      <c r="F211" s="7">
        <f t="shared" si="5"/>
        <v>83030.507094255998</v>
      </c>
      <c r="H211" s="43" t="s">
        <v>232</v>
      </c>
      <c r="I211">
        <v>16550</v>
      </c>
      <c r="J211" s="46">
        <v>28729.285714285699</v>
      </c>
      <c r="K211" s="48">
        <v>56828.708415904999</v>
      </c>
      <c r="L211" s="7">
        <f t="shared" si="6"/>
        <v>28729.285714285699</v>
      </c>
      <c r="M211" s="7">
        <f t="shared" si="6"/>
        <v>56828.708415904999</v>
      </c>
      <c r="P211" t="s">
        <v>220</v>
      </c>
      <c r="Q211">
        <v>18148</v>
      </c>
      <c r="R211" s="7"/>
      <c r="S211" s="7"/>
      <c r="T211" s="7">
        <v>42379.199999999997</v>
      </c>
      <c r="U211" s="7">
        <v>83030.507094255998</v>
      </c>
      <c r="W211" t="s">
        <v>232</v>
      </c>
      <c r="X211">
        <v>16550</v>
      </c>
      <c r="Y211" s="7"/>
      <c r="Z211" s="7"/>
      <c r="AA211" s="7">
        <v>28729.285714285699</v>
      </c>
      <c r="AB211" s="7">
        <v>56828.708415904999</v>
      </c>
    </row>
    <row r="212" spans="1:28" x14ac:dyDescent="0.3">
      <c r="A212" s="10" t="s">
        <v>219</v>
      </c>
      <c r="B212">
        <v>19032</v>
      </c>
      <c r="C212" s="5">
        <v>34923.599999999999</v>
      </c>
      <c r="D212" s="7">
        <v>69491.993037607506</v>
      </c>
      <c r="E212" s="7">
        <f t="shared" si="5"/>
        <v>34923.599999999999</v>
      </c>
      <c r="F212" s="7">
        <f t="shared" si="5"/>
        <v>69491.993037607506</v>
      </c>
      <c r="H212" s="43" t="s">
        <v>231</v>
      </c>
      <c r="I212" s="45">
        <v>20174</v>
      </c>
      <c r="J212" s="46">
        <v>44929.8</v>
      </c>
      <c r="K212" s="48">
        <v>86843.569597552603</v>
      </c>
      <c r="L212" s="7">
        <f>J212+J213</f>
        <v>73659.085714285698</v>
      </c>
      <c r="M212" s="7">
        <f>K212+K213</f>
        <v>143672.2780134576</v>
      </c>
      <c r="P212" t="s">
        <v>219</v>
      </c>
      <c r="Q212">
        <v>19032</v>
      </c>
      <c r="R212" s="7"/>
      <c r="S212" s="7"/>
      <c r="T212" s="7">
        <v>34923.599999999999</v>
      </c>
      <c r="U212" s="7">
        <v>69491.993037607506</v>
      </c>
      <c r="W212" t="s">
        <v>231</v>
      </c>
      <c r="X212">
        <v>20174</v>
      </c>
      <c r="Y212" s="7"/>
      <c r="Z212" s="7"/>
      <c r="AA212" s="7">
        <v>73659.085714285698</v>
      </c>
      <c r="AB212" s="7">
        <v>143672.27801345801</v>
      </c>
    </row>
    <row r="213" spans="1:28" x14ac:dyDescent="0.3">
      <c r="A213" s="10" t="s">
        <v>219</v>
      </c>
      <c r="B213">
        <v>20255</v>
      </c>
      <c r="C213" s="5">
        <v>34923.599999999999</v>
      </c>
      <c r="D213" s="7">
        <v>69491.993037607506</v>
      </c>
      <c r="E213" s="7">
        <f t="shared" si="5"/>
        <v>34923.599999999999</v>
      </c>
      <c r="F213" s="7">
        <f t="shared" si="5"/>
        <v>69491.993037607506</v>
      </c>
      <c r="H213" s="43" t="s">
        <v>232</v>
      </c>
      <c r="I213" s="45">
        <v>20174</v>
      </c>
      <c r="J213" s="46">
        <v>28729.285714285699</v>
      </c>
      <c r="K213" s="48">
        <v>56828.708415904999</v>
      </c>
      <c r="P213" t="s">
        <v>219</v>
      </c>
      <c r="Q213">
        <v>20255</v>
      </c>
      <c r="R213" s="7"/>
      <c r="S213" s="7"/>
      <c r="T213" s="7">
        <v>34923.599999999999</v>
      </c>
      <c r="U213" s="7">
        <v>69491.993037607506</v>
      </c>
      <c r="W213" t="s">
        <v>232</v>
      </c>
      <c r="X213">
        <v>23224</v>
      </c>
      <c r="Y213" s="7"/>
      <c r="Z213" s="7"/>
      <c r="AA213" s="7">
        <v>44929.8</v>
      </c>
      <c r="AB213" s="7">
        <v>86843.569597552603</v>
      </c>
    </row>
    <row r="214" spans="1:28" x14ac:dyDescent="0.3">
      <c r="A214" s="10" t="s">
        <v>218</v>
      </c>
      <c r="B214">
        <v>28136</v>
      </c>
      <c r="C214" s="5">
        <v>43654.5</v>
      </c>
      <c r="D214" s="7">
        <v>83919.50762171</v>
      </c>
      <c r="E214" s="7">
        <f>C214+C215</f>
        <v>78578.100000000006</v>
      </c>
      <c r="F214" s="7">
        <f>D214+D215</f>
        <v>153411.50065931751</v>
      </c>
      <c r="H214" s="43" t="s">
        <v>231</v>
      </c>
      <c r="I214">
        <v>23224</v>
      </c>
      <c r="J214" s="46">
        <v>44929.8</v>
      </c>
      <c r="K214" s="48">
        <v>86843.569597552603</v>
      </c>
      <c r="L214" s="7">
        <f t="shared" ref="L214:M216" si="7">J214</f>
        <v>44929.8</v>
      </c>
      <c r="M214" s="7">
        <f t="shared" si="7"/>
        <v>86843.569597552603</v>
      </c>
      <c r="P214" t="s">
        <v>218</v>
      </c>
      <c r="Q214">
        <v>28136</v>
      </c>
      <c r="R214" s="7"/>
      <c r="S214" s="7"/>
      <c r="T214" s="7">
        <v>78578.100000000006</v>
      </c>
      <c r="U214" s="7">
        <v>153411.50065931701</v>
      </c>
      <c r="W214" t="s">
        <v>231</v>
      </c>
      <c r="X214">
        <v>27373</v>
      </c>
      <c r="Y214" s="7"/>
      <c r="Z214" s="7"/>
      <c r="AA214" s="7">
        <v>44929.8</v>
      </c>
      <c r="AB214" s="7">
        <v>86843.569597552603</v>
      </c>
    </row>
    <row r="215" spans="1:28" x14ac:dyDescent="0.3">
      <c r="A215" s="10" t="s">
        <v>219</v>
      </c>
      <c r="B215">
        <v>28136</v>
      </c>
      <c r="C215" s="5">
        <v>34923.599999999999</v>
      </c>
      <c r="D215" s="7">
        <v>69491.993037607506</v>
      </c>
      <c r="H215" s="43" t="s">
        <v>231</v>
      </c>
      <c r="I215" s="45">
        <v>27373</v>
      </c>
      <c r="J215" s="46">
        <v>44929.8</v>
      </c>
      <c r="K215" s="48">
        <v>86843.569597552603</v>
      </c>
      <c r="L215" s="7">
        <f t="shared" si="7"/>
        <v>44929.8</v>
      </c>
      <c r="M215" s="7">
        <f t="shared" si="7"/>
        <v>86843.569597552603</v>
      </c>
      <c r="P215" t="s">
        <v>219</v>
      </c>
      <c r="Q215">
        <v>38849</v>
      </c>
      <c r="R215" s="7"/>
      <c r="S215" s="7"/>
      <c r="T215" s="7">
        <v>79706.25</v>
      </c>
      <c r="U215" s="7">
        <v>155360.87530987899</v>
      </c>
      <c r="W215" t="s">
        <v>231</v>
      </c>
      <c r="X215">
        <v>29107</v>
      </c>
      <c r="Y215" s="7"/>
      <c r="Z215" s="7"/>
      <c r="AA215" s="7">
        <v>50031</v>
      </c>
      <c r="AB215" s="7">
        <v>96236.984809325397</v>
      </c>
    </row>
    <row r="216" spans="1:28" x14ac:dyDescent="0.3">
      <c r="A216" s="10" t="s">
        <v>217</v>
      </c>
      <c r="B216">
        <v>38849</v>
      </c>
      <c r="C216" s="5">
        <v>36051.75</v>
      </c>
      <c r="D216" s="7">
        <v>71441.367688169194</v>
      </c>
      <c r="E216" s="7">
        <f>C216+C217</f>
        <v>79706.25</v>
      </c>
      <c r="F216" s="7">
        <f>D216+D217</f>
        <v>155360.87530987919</v>
      </c>
      <c r="H216" s="43" t="s">
        <v>230</v>
      </c>
      <c r="I216" s="45">
        <v>29107</v>
      </c>
      <c r="J216" s="46">
        <v>50031</v>
      </c>
      <c r="K216" s="48">
        <v>96236.984809325397</v>
      </c>
      <c r="L216" s="7">
        <f t="shared" si="7"/>
        <v>50031</v>
      </c>
      <c r="M216" s="7">
        <f t="shared" si="7"/>
        <v>96236.984809325397</v>
      </c>
      <c r="P216" t="s">
        <v>217</v>
      </c>
      <c r="Q216">
        <v>47105</v>
      </c>
      <c r="R216" s="7"/>
      <c r="S216" s="7"/>
      <c r="T216" s="7">
        <v>77253.75</v>
      </c>
      <c r="U216" s="7">
        <v>152254.728888654</v>
      </c>
      <c r="W216" t="s">
        <v>230</v>
      </c>
      <c r="X216">
        <v>37097</v>
      </c>
      <c r="Y216" s="7"/>
      <c r="Z216" s="7"/>
      <c r="AA216" s="7">
        <v>99571.5</v>
      </c>
      <c r="AB216" s="7">
        <v>193705.717337412</v>
      </c>
    </row>
    <row r="217" spans="1:28" x14ac:dyDescent="0.3">
      <c r="A217" s="10" t="s">
        <v>218</v>
      </c>
      <c r="B217">
        <v>38849</v>
      </c>
      <c r="C217" s="5">
        <v>43654.5</v>
      </c>
      <c r="D217" s="7">
        <v>83919.50762171</v>
      </c>
      <c r="H217" s="43" t="s">
        <v>229</v>
      </c>
      <c r="I217" s="45">
        <v>37097</v>
      </c>
      <c r="J217" s="46">
        <v>49540.5</v>
      </c>
      <c r="K217" s="48">
        <v>97468.732528086897</v>
      </c>
      <c r="L217" s="7">
        <f>J217+J218</f>
        <v>99571.5</v>
      </c>
      <c r="M217" s="7">
        <f>K217+K218</f>
        <v>193705.71733741229</v>
      </c>
      <c r="P217" t="s">
        <v>218</v>
      </c>
      <c r="Q217">
        <v>75772</v>
      </c>
      <c r="R217" s="7"/>
      <c r="S217" s="7"/>
      <c r="T217" s="7">
        <v>111098.25</v>
      </c>
      <c r="U217" s="7">
        <v>216144.94751832899</v>
      </c>
      <c r="W217" t="s">
        <v>229</v>
      </c>
      <c r="X217">
        <v>45234</v>
      </c>
      <c r="Y217" s="7"/>
      <c r="Z217" s="7"/>
      <c r="AA217" s="7">
        <v>98345.25</v>
      </c>
      <c r="AB217" s="7">
        <v>192206.19837544201</v>
      </c>
    </row>
    <row r="218" spans="1:28" x14ac:dyDescent="0.3">
      <c r="A218" s="10" t="s">
        <v>216</v>
      </c>
      <c r="B218">
        <v>47105</v>
      </c>
      <c r="C218" s="5">
        <v>41202</v>
      </c>
      <c r="D218" s="7">
        <v>80813.361200485306</v>
      </c>
      <c r="E218" s="7">
        <f>C218+C219</f>
        <v>77253.75</v>
      </c>
      <c r="F218" s="7">
        <f>D218+D219</f>
        <v>152254.7288886545</v>
      </c>
      <c r="H218" s="43" t="s">
        <v>230</v>
      </c>
      <c r="I218" s="45">
        <v>37097</v>
      </c>
      <c r="J218" s="46">
        <v>50031</v>
      </c>
      <c r="K218" s="48">
        <v>96236.984809325397</v>
      </c>
      <c r="P218" t="s">
        <v>216</v>
      </c>
      <c r="Q218">
        <v>84767</v>
      </c>
      <c r="R218" s="7"/>
      <c r="S218" s="7"/>
      <c r="T218" s="7">
        <v>109626.75</v>
      </c>
      <c r="U218" s="7">
        <v>215288.07954005999</v>
      </c>
      <c r="W218" t="s">
        <v>230</v>
      </c>
      <c r="X218">
        <v>53005</v>
      </c>
      <c r="Y218" s="7"/>
      <c r="Z218" s="7"/>
      <c r="AA218" s="7">
        <v>90006.75</v>
      </c>
      <c r="AB218" s="7">
        <v>175872.15253969099</v>
      </c>
    </row>
    <row r="219" spans="1:28" x14ac:dyDescent="0.3">
      <c r="A219" s="10" t="s">
        <v>217</v>
      </c>
      <c r="B219">
        <v>47105</v>
      </c>
      <c r="C219" s="5">
        <v>36051.75</v>
      </c>
      <c r="D219" s="7">
        <v>71441.367688169194</v>
      </c>
      <c r="H219" s="43" t="s">
        <v>229</v>
      </c>
      <c r="I219" s="45">
        <v>45234</v>
      </c>
      <c r="J219" s="46">
        <v>49540.5</v>
      </c>
      <c r="K219" s="48">
        <v>97468.732528086897</v>
      </c>
      <c r="L219" s="7">
        <f>J219+J220</f>
        <v>98345.25</v>
      </c>
      <c r="M219" s="7">
        <f>K219+K220</f>
        <v>192206.19837544172</v>
      </c>
      <c r="P219" t="s">
        <v>217</v>
      </c>
      <c r="Q219">
        <v>91266</v>
      </c>
      <c r="R219" s="7"/>
      <c r="S219" s="7"/>
      <c r="T219" s="7">
        <v>81423</v>
      </c>
      <c r="U219" s="7">
        <v>159859.43219579101</v>
      </c>
      <c r="W219" t="s">
        <v>229</v>
      </c>
      <c r="X219">
        <v>61765</v>
      </c>
      <c r="Y219" s="7"/>
      <c r="Z219" s="7"/>
      <c r="AA219" s="7">
        <v>71122.5</v>
      </c>
      <c r="AB219" s="7">
        <v>140579.90268474101</v>
      </c>
    </row>
    <row r="220" spans="1:28" x14ac:dyDescent="0.3">
      <c r="A220" s="10" t="s">
        <v>212</v>
      </c>
      <c r="B220">
        <v>75772</v>
      </c>
      <c r="C220" s="5">
        <v>54690.75</v>
      </c>
      <c r="D220" s="7">
        <v>107911.811013239</v>
      </c>
      <c r="E220" s="7">
        <f>C220+C221</f>
        <v>111098.25</v>
      </c>
      <c r="F220" s="7">
        <f>D220+D221</f>
        <v>216144.94751832902</v>
      </c>
      <c r="H220" s="43" t="s">
        <v>228</v>
      </c>
      <c r="I220" s="45">
        <v>45234</v>
      </c>
      <c r="J220" s="46">
        <v>48804.75</v>
      </c>
      <c r="K220" s="48">
        <v>94737.465847354804</v>
      </c>
      <c r="P220" t="s">
        <v>212</v>
      </c>
      <c r="Q220">
        <v>94710</v>
      </c>
      <c r="R220" s="7"/>
      <c r="S220" s="7"/>
      <c r="T220" s="7">
        <v>61312.5</v>
      </c>
      <c r="U220" s="7">
        <v>121353.927422332</v>
      </c>
      <c r="W220" t="s">
        <v>228</v>
      </c>
      <c r="X220">
        <v>69835</v>
      </c>
      <c r="Y220" s="7"/>
      <c r="Z220" s="7"/>
      <c r="AA220" s="7">
        <v>62293.5</v>
      </c>
      <c r="AB220" s="7">
        <v>119640.191465795</v>
      </c>
    </row>
    <row r="221" spans="1:28" x14ac:dyDescent="0.3">
      <c r="A221" s="10" t="s">
        <v>213</v>
      </c>
      <c r="B221">
        <v>75772</v>
      </c>
      <c r="C221" s="5">
        <v>56407.5</v>
      </c>
      <c r="D221" s="7">
        <v>108233.13650509001</v>
      </c>
      <c r="H221" s="43" t="s">
        <v>228</v>
      </c>
      <c r="I221" s="45">
        <v>53005</v>
      </c>
      <c r="J221" s="46">
        <v>48804.75</v>
      </c>
      <c r="K221" s="48">
        <v>94737.465847354804</v>
      </c>
      <c r="L221" s="7">
        <f>J221+J222</f>
        <v>90006.75</v>
      </c>
      <c r="M221" s="7">
        <f>K221+K222</f>
        <v>175872.1525396909</v>
      </c>
      <c r="P221" t="s">
        <v>213</v>
      </c>
      <c r="Q221">
        <v>98579</v>
      </c>
      <c r="R221" s="7"/>
      <c r="S221" s="7"/>
      <c r="T221" s="7">
        <v>34825.5</v>
      </c>
      <c r="U221" s="7">
        <v>68870.763753362597</v>
      </c>
      <c r="W221" t="s">
        <v>228</v>
      </c>
      <c r="X221">
        <v>76003</v>
      </c>
      <c r="Y221" s="7"/>
      <c r="Z221" s="7"/>
      <c r="AA221" s="7">
        <v>62784</v>
      </c>
      <c r="AB221" s="7">
        <v>120604.167941347</v>
      </c>
    </row>
    <row r="222" spans="1:28" x14ac:dyDescent="0.3">
      <c r="A222" s="10" t="s">
        <v>211</v>
      </c>
      <c r="B222">
        <v>84767</v>
      </c>
      <c r="C222" s="5">
        <v>54936</v>
      </c>
      <c r="D222" s="7">
        <v>107376.268526821</v>
      </c>
      <c r="E222" s="7">
        <f>C222+C223</f>
        <v>109626.75</v>
      </c>
      <c r="F222" s="7">
        <f>D222+D223</f>
        <v>215288.07954006002</v>
      </c>
      <c r="H222" s="43" t="s">
        <v>227</v>
      </c>
      <c r="I222" s="45">
        <v>53005</v>
      </c>
      <c r="J222" s="46">
        <v>41202</v>
      </c>
      <c r="K222" s="48">
        <v>81134.686692336094</v>
      </c>
      <c r="P222" t="s">
        <v>211</v>
      </c>
      <c r="Q222">
        <v>100188</v>
      </c>
      <c r="R222" s="7"/>
      <c r="S222" s="7"/>
      <c r="T222" s="7">
        <v>34825.5</v>
      </c>
      <c r="U222" s="7">
        <v>68870.763753362597</v>
      </c>
      <c r="W222" t="s">
        <v>227</v>
      </c>
      <c r="X222">
        <v>85014</v>
      </c>
      <c r="Y222" s="7"/>
      <c r="Z222" s="7"/>
      <c r="AA222" s="7">
        <v>71367.75</v>
      </c>
      <c r="AB222" s="7">
        <v>141918.75890078599</v>
      </c>
    </row>
    <row r="223" spans="1:28" x14ac:dyDescent="0.3">
      <c r="A223" s="10" t="s">
        <v>212</v>
      </c>
      <c r="B223">
        <v>84767</v>
      </c>
      <c r="C223" s="5">
        <v>54690.75</v>
      </c>
      <c r="D223" s="7">
        <v>107911.811013239</v>
      </c>
      <c r="H223" s="43" t="s">
        <v>226</v>
      </c>
      <c r="I223" s="45">
        <v>61765</v>
      </c>
      <c r="J223" s="46">
        <v>29920.5</v>
      </c>
      <c r="K223" s="48">
        <v>59445.215992404701</v>
      </c>
      <c r="L223" s="7">
        <f>J223+J224</f>
        <v>71122.5</v>
      </c>
      <c r="M223" s="7">
        <f>K223+K224</f>
        <v>140579.90268474078</v>
      </c>
      <c r="P223" t="s">
        <v>212</v>
      </c>
      <c r="Q223">
        <v>106081</v>
      </c>
      <c r="R223" s="7"/>
      <c r="S223" s="7"/>
      <c r="T223" s="7">
        <v>61312.5</v>
      </c>
      <c r="U223" s="7">
        <v>121353.927422332</v>
      </c>
      <c r="W223" t="s">
        <v>226</v>
      </c>
      <c r="X223">
        <v>91405</v>
      </c>
      <c r="Y223" s="7"/>
      <c r="Z223" s="7"/>
      <c r="AA223" s="7">
        <v>64500.75</v>
      </c>
      <c r="AB223" s="7">
        <v>128262.425497125</v>
      </c>
    </row>
    <row r="224" spans="1:28" x14ac:dyDescent="0.3">
      <c r="A224" s="10" t="s">
        <v>210</v>
      </c>
      <c r="B224">
        <v>91266</v>
      </c>
      <c r="C224" s="5">
        <v>26487</v>
      </c>
      <c r="D224" s="7">
        <v>52483.163668969901</v>
      </c>
      <c r="E224" s="7">
        <f>C224+C225</f>
        <v>81423</v>
      </c>
      <c r="F224" s="7">
        <f>D224+D225</f>
        <v>159859.4321957909</v>
      </c>
      <c r="H224" s="43" t="s">
        <v>227</v>
      </c>
      <c r="I224" s="45">
        <v>61765</v>
      </c>
      <c r="J224" s="46">
        <v>41202</v>
      </c>
      <c r="K224" s="48">
        <v>81134.686692336094</v>
      </c>
      <c r="P224" t="s">
        <v>210</v>
      </c>
      <c r="Q224">
        <v>106082</v>
      </c>
      <c r="R224" s="7"/>
      <c r="S224" s="7"/>
      <c r="T224" s="7">
        <v>79706.25</v>
      </c>
      <c r="U224" s="7">
        <v>155360.87530987899</v>
      </c>
      <c r="W224" t="s">
        <v>227</v>
      </c>
      <c r="X224">
        <v>94792</v>
      </c>
      <c r="Y224" s="7"/>
      <c r="Z224" s="7"/>
      <c r="AA224" s="7">
        <v>56162.25</v>
      </c>
      <c r="AB224" s="7">
        <v>111178.620180389</v>
      </c>
    </row>
    <row r="225" spans="1:28" x14ac:dyDescent="0.3">
      <c r="A225" s="10" t="s">
        <v>211</v>
      </c>
      <c r="B225">
        <v>91266</v>
      </c>
      <c r="C225" s="5">
        <v>54936</v>
      </c>
      <c r="D225" s="7">
        <v>107376.268526821</v>
      </c>
      <c r="H225" s="43" t="s">
        <v>225</v>
      </c>
      <c r="I225" s="45">
        <v>69835</v>
      </c>
      <c r="J225" s="46">
        <v>32373</v>
      </c>
      <c r="K225" s="48">
        <v>60194.975473389997</v>
      </c>
      <c r="L225" s="7">
        <f>J225+J226</f>
        <v>62293.5</v>
      </c>
      <c r="M225" s="7">
        <f>K225+K226</f>
        <v>119640.19146579469</v>
      </c>
      <c r="P225" t="s">
        <v>211</v>
      </c>
      <c r="Q225">
        <v>106083</v>
      </c>
      <c r="R225" s="7"/>
      <c r="S225" s="7"/>
      <c r="T225" s="7">
        <v>36051.75</v>
      </c>
      <c r="U225" s="7">
        <v>71441.367688169194</v>
      </c>
      <c r="W225" t="s">
        <v>225</v>
      </c>
      <c r="X225">
        <v>100152</v>
      </c>
      <c r="Y225" s="7"/>
      <c r="Z225" s="7"/>
      <c r="AA225" s="7">
        <v>32618.25</v>
      </c>
      <c r="AB225" s="7">
        <v>64425.761116092603</v>
      </c>
    </row>
    <row r="226" spans="1:28" x14ac:dyDescent="0.3">
      <c r="A226" s="10" t="s">
        <v>209</v>
      </c>
      <c r="B226">
        <v>94710</v>
      </c>
      <c r="C226" s="5">
        <v>34825.5</v>
      </c>
      <c r="D226" s="7">
        <v>68870.763753362597</v>
      </c>
      <c r="E226" s="7">
        <f>C226+C227</f>
        <v>61312.5</v>
      </c>
      <c r="F226" s="7">
        <f>D226+D227</f>
        <v>121353.92742233249</v>
      </c>
      <c r="H226" s="43" t="s">
        <v>226</v>
      </c>
      <c r="I226" s="45">
        <v>69835</v>
      </c>
      <c r="J226" s="46">
        <v>29920.5</v>
      </c>
      <c r="K226" s="48">
        <v>59445.215992404701</v>
      </c>
      <c r="P226" t="s">
        <v>209</v>
      </c>
      <c r="Q226">
        <v>106084</v>
      </c>
      <c r="R226" s="7"/>
      <c r="S226" s="7"/>
      <c r="T226" s="7">
        <v>78578.100000000006</v>
      </c>
      <c r="U226" s="7">
        <v>153411.50065931701</v>
      </c>
      <c r="W226" t="s">
        <v>226</v>
      </c>
      <c r="X226">
        <v>100188</v>
      </c>
      <c r="Y226" s="7"/>
      <c r="Z226" s="7"/>
      <c r="AA226" s="7">
        <v>32618.25</v>
      </c>
      <c r="AB226" s="7">
        <v>64425.761116092603</v>
      </c>
    </row>
    <row r="227" spans="1:28" x14ac:dyDescent="0.3">
      <c r="A227" s="10" t="s">
        <v>210</v>
      </c>
      <c r="B227">
        <v>94710</v>
      </c>
      <c r="C227" s="5">
        <v>26487</v>
      </c>
      <c r="D227" s="7">
        <v>52483.163668969901</v>
      </c>
      <c r="H227" s="43" t="s">
        <v>224</v>
      </c>
      <c r="I227" s="45">
        <v>76003</v>
      </c>
      <c r="J227" s="46">
        <v>30411</v>
      </c>
      <c r="K227" s="48">
        <v>60409.192467957197</v>
      </c>
      <c r="L227" s="7">
        <f>J227+J228</f>
        <v>62784</v>
      </c>
      <c r="M227" s="7">
        <f>K227+K228</f>
        <v>120604.1679413472</v>
      </c>
      <c r="P227" t="s">
        <v>210</v>
      </c>
      <c r="Q227">
        <v>106085</v>
      </c>
      <c r="R227" s="7"/>
      <c r="S227" s="7"/>
      <c r="T227" s="7">
        <v>34923.599999999999</v>
      </c>
      <c r="U227" s="7">
        <v>69491.993037607506</v>
      </c>
      <c r="W227" t="s">
        <v>224</v>
      </c>
      <c r="X227">
        <v>106035</v>
      </c>
      <c r="Y227" s="7"/>
      <c r="Z227" s="7"/>
      <c r="AA227" s="7">
        <v>90006.75</v>
      </c>
      <c r="AB227" s="7">
        <v>175872.15253969099</v>
      </c>
    </row>
    <row r="228" spans="1:28" x14ac:dyDescent="0.3">
      <c r="A228" s="10" t="s">
        <v>209</v>
      </c>
      <c r="B228">
        <v>98579</v>
      </c>
      <c r="C228" s="5">
        <v>34825.5</v>
      </c>
      <c r="D228" s="7">
        <v>68870.763753362597</v>
      </c>
      <c r="E228" s="7">
        <f>C228</f>
        <v>34825.5</v>
      </c>
      <c r="F228" s="7">
        <f>D228</f>
        <v>68870.763753362597</v>
      </c>
      <c r="H228" s="43" t="s">
        <v>225</v>
      </c>
      <c r="I228" s="45">
        <v>76003</v>
      </c>
      <c r="J228" s="46">
        <v>32373</v>
      </c>
      <c r="K228" s="48">
        <v>60194.975473389997</v>
      </c>
      <c r="P228" t="s">
        <v>209</v>
      </c>
      <c r="Q228">
        <v>106086</v>
      </c>
      <c r="R228" s="7"/>
      <c r="S228" s="7"/>
      <c r="T228" s="7">
        <v>42379.199999999997</v>
      </c>
      <c r="U228" s="7">
        <v>83030.507094255998</v>
      </c>
      <c r="W228" t="s">
        <v>225</v>
      </c>
      <c r="X228">
        <v>106036</v>
      </c>
      <c r="Y228" s="7"/>
      <c r="Z228" s="7"/>
      <c r="AA228" s="7">
        <v>98345.25</v>
      </c>
      <c r="AB228" s="7">
        <v>192206.19837544201</v>
      </c>
    </row>
    <row r="229" spans="1:28" x14ac:dyDescent="0.3">
      <c r="A229" s="10" t="s">
        <v>209</v>
      </c>
      <c r="B229">
        <v>100188</v>
      </c>
      <c r="C229" s="5">
        <v>34825.5</v>
      </c>
      <c r="D229" s="7">
        <v>68870.763753362597</v>
      </c>
      <c r="E229" s="7">
        <f>C229</f>
        <v>34825.5</v>
      </c>
      <c r="F229" s="7">
        <f>D229</f>
        <v>68870.763753362597</v>
      </c>
      <c r="H229" s="43" t="s">
        <v>223</v>
      </c>
      <c r="I229" s="45">
        <v>85014</v>
      </c>
      <c r="J229" s="46">
        <v>40956.75</v>
      </c>
      <c r="K229" s="48">
        <v>81509.566432828695</v>
      </c>
      <c r="L229" s="7">
        <f>J229+J230</f>
        <v>71367.75</v>
      </c>
      <c r="M229" s="7">
        <f>K229+K230</f>
        <v>141918.75890078588</v>
      </c>
      <c r="P229" t="s">
        <v>209</v>
      </c>
      <c r="Q229">
        <v>106088</v>
      </c>
      <c r="R229" s="7"/>
      <c r="S229" s="7"/>
      <c r="T229" s="7">
        <v>41202</v>
      </c>
      <c r="U229" s="7">
        <v>80813.361200485306</v>
      </c>
      <c r="W229" t="s">
        <v>223</v>
      </c>
      <c r="X229">
        <v>106037</v>
      </c>
      <c r="Y229" s="7"/>
      <c r="Z229" s="7"/>
      <c r="AA229" s="7">
        <v>99571.5</v>
      </c>
      <c r="AB229" s="7">
        <v>193705.717337412</v>
      </c>
    </row>
    <row r="230" spans="1:28" x14ac:dyDescent="0.3">
      <c r="A230" s="10" t="s">
        <v>210</v>
      </c>
      <c r="B230">
        <v>106081</v>
      </c>
      <c r="C230" s="5">
        <v>26487</v>
      </c>
      <c r="D230" s="7">
        <v>52483.163668969901</v>
      </c>
      <c r="E230" s="7">
        <f>C230+C231</f>
        <v>61312.5</v>
      </c>
      <c r="F230" s="7">
        <f>D230+D231</f>
        <v>121353.92742233249</v>
      </c>
      <c r="H230" s="43" t="s">
        <v>224</v>
      </c>
      <c r="I230" s="45">
        <v>85014</v>
      </c>
      <c r="J230" s="46">
        <v>30411</v>
      </c>
      <c r="K230" s="48">
        <v>60409.192467957197</v>
      </c>
      <c r="P230" t="s">
        <v>210</v>
      </c>
      <c r="Q230">
        <v>106095</v>
      </c>
      <c r="R230" s="7"/>
      <c r="S230" s="7"/>
      <c r="T230" s="7">
        <v>92949.75</v>
      </c>
      <c r="U230" s="7">
        <v>181977.33688485701</v>
      </c>
      <c r="W230" t="s">
        <v>224</v>
      </c>
      <c r="X230">
        <v>106038</v>
      </c>
      <c r="Y230" s="7"/>
      <c r="Z230" s="7"/>
      <c r="AA230" s="7">
        <v>94960.8</v>
      </c>
      <c r="AB230" s="7">
        <v>183080.55440687799</v>
      </c>
    </row>
    <row r="231" spans="1:28" x14ac:dyDescent="0.3">
      <c r="A231" s="10" t="s">
        <v>209</v>
      </c>
      <c r="B231">
        <v>106081</v>
      </c>
      <c r="C231" s="5">
        <v>34825.5</v>
      </c>
      <c r="D231" s="7">
        <v>68870.763753362597</v>
      </c>
      <c r="H231" s="43" t="s">
        <v>222</v>
      </c>
      <c r="I231" s="45">
        <v>91405</v>
      </c>
      <c r="J231" s="46">
        <v>23544</v>
      </c>
      <c r="K231" s="48">
        <v>46752.859064296601</v>
      </c>
      <c r="L231" s="7">
        <f>J231+J232</f>
        <v>64500.75</v>
      </c>
      <c r="M231" s="7">
        <f>K231+K232</f>
        <v>128262.4254971253</v>
      </c>
      <c r="P231" t="s">
        <v>209</v>
      </c>
      <c r="Q231">
        <v>106096</v>
      </c>
      <c r="R231" s="7"/>
      <c r="S231" s="7"/>
      <c r="T231" s="7">
        <v>106193.25</v>
      </c>
      <c r="U231" s="7">
        <v>208647.35270847601</v>
      </c>
      <c r="W231" t="s">
        <v>222</v>
      </c>
      <c r="X231">
        <v>106040</v>
      </c>
      <c r="Y231" s="7"/>
      <c r="Z231" s="7"/>
      <c r="AA231" s="7">
        <v>28729.285714285699</v>
      </c>
      <c r="AB231" s="7">
        <v>56828.708415904999</v>
      </c>
    </row>
    <row r="232" spans="1:28" x14ac:dyDescent="0.3">
      <c r="A232" s="10" t="s">
        <v>217</v>
      </c>
      <c r="B232">
        <v>106082</v>
      </c>
      <c r="C232" s="5">
        <v>36051.75</v>
      </c>
      <c r="D232" s="7">
        <v>71441.367688169194</v>
      </c>
      <c r="E232" s="7">
        <f>C232+C233</f>
        <v>79706.25</v>
      </c>
      <c r="F232" s="7">
        <f>D232+D233</f>
        <v>155360.87530987919</v>
      </c>
      <c r="H232" s="43" t="s">
        <v>223</v>
      </c>
      <c r="I232" s="45">
        <v>91405</v>
      </c>
      <c r="J232" s="46">
        <v>40956.75</v>
      </c>
      <c r="K232" s="48">
        <v>81509.566432828695</v>
      </c>
      <c r="P232" t="s">
        <v>217</v>
      </c>
      <c r="Q232">
        <v>106097</v>
      </c>
      <c r="R232" s="7"/>
      <c r="S232" s="7"/>
      <c r="T232" s="7">
        <v>110853</v>
      </c>
      <c r="U232" s="7">
        <v>215716.51352919501</v>
      </c>
      <c r="W232" t="s">
        <v>223</v>
      </c>
      <c r="X232">
        <v>106041</v>
      </c>
      <c r="Y232" s="7"/>
      <c r="Z232" s="7"/>
      <c r="AA232" s="7">
        <v>64500.75</v>
      </c>
      <c r="AB232" s="7">
        <v>128262.425497125</v>
      </c>
    </row>
    <row r="233" spans="1:28" x14ac:dyDescent="0.3">
      <c r="A233" s="10" t="s">
        <v>218</v>
      </c>
      <c r="B233">
        <v>106082</v>
      </c>
      <c r="C233" s="5">
        <v>43654.5</v>
      </c>
      <c r="D233" s="7">
        <v>83919.50762171</v>
      </c>
      <c r="H233" s="43" t="s">
        <v>221</v>
      </c>
      <c r="I233" s="45">
        <v>94792</v>
      </c>
      <c r="J233" s="46">
        <v>32618.25</v>
      </c>
      <c r="K233" s="48">
        <v>64425.761116092603</v>
      </c>
      <c r="L233" s="7">
        <f>J233+J234</f>
        <v>56162.25</v>
      </c>
      <c r="M233" s="7">
        <f>K233+K234</f>
        <v>111178.6201803892</v>
      </c>
      <c r="P233" t="s">
        <v>218</v>
      </c>
      <c r="Q233">
        <v>106098</v>
      </c>
      <c r="R233" s="7"/>
      <c r="S233" s="7"/>
      <c r="T233" s="7">
        <v>106193.25</v>
      </c>
      <c r="U233" s="7">
        <v>208647.35270847601</v>
      </c>
      <c r="W233" t="s">
        <v>221</v>
      </c>
      <c r="X233">
        <v>106042</v>
      </c>
      <c r="Y233" s="7"/>
      <c r="Z233" s="7"/>
      <c r="AA233" s="7">
        <v>40956.75</v>
      </c>
      <c r="AB233" s="7">
        <v>81509.566432828695</v>
      </c>
    </row>
    <row r="234" spans="1:28" x14ac:dyDescent="0.3">
      <c r="A234" s="10" t="s">
        <v>217</v>
      </c>
      <c r="B234">
        <v>106083</v>
      </c>
      <c r="C234" s="5">
        <v>36051.75</v>
      </c>
      <c r="D234" s="7">
        <v>71441.367688169194</v>
      </c>
      <c r="E234" s="7">
        <f>C234</f>
        <v>36051.75</v>
      </c>
      <c r="F234" s="7">
        <f>D234</f>
        <v>71441.367688169194</v>
      </c>
      <c r="H234" s="43" t="s">
        <v>222</v>
      </c>
      <c r="I234" s="45">
        <v>94792</v>
      </c>
      <c r="J234" s="46">
        <v>23544</v>
      </c>
      <c r="K234" s="48">
        <v>46752.859064296601</v>
      </c>
      <c r="P234" t="s">
        <v>217</v>
      </c>
      <c r="Q234">
        <v>106099</v>
      </c>
      <c r="R234" s="7"/>
      <c r="S234" s="7"/>
      <c r="T234" s="7">
        <v>92949.75</v>
      </c>
      <c r="U234" s="7">
        <v>181977.33688485701</v>
      </c>
      <c r="W234" t="s">
        <v>222</v>
      </c>
      <c r="X234">
        <v>106045</v>
      </c>
      <c r="Y234" s="7"/>
      <c r="Z234" s="7"/>
      <c r="AA234" s="7">
        <v>41202</v>
      </c>
      <c r="AB234" s="7">
        <v>81134.686692336094</v>
      </c>
    </row>
    <row r="235" spans="1:28" x14ac:dyDescent="0.3">
      <c r="A235" s="10" t="s">
        <v>219</v>
      </c>
      <c r="B235">
        <v>106084</v>
      </c>
      <c r="C235" s="5">
        <v>34923.599999999999</v>
      </c>
      <c r="D235" s="7">
        <v>69491.993037607506</v>
      </c>
      <c r="E235" s="7">
        <f>C235+C236</f>
        <v>78578.100000000006</v>
      </c>
      <c r="F235" s="7">
        <f>D235+D236</f>
        <v>153411.50065931751</v>
      </c>
      <c r="H235" s="43" t="s">
        <v>221</v>
      </c>
      <c r="I235" s="45">
        <v>100152</v>
      </c>
      <c r="J235" s="46">
        <v>32618.25</v>
      </c>
      <c r="K235" s="48">
        <v>64425.761116092603</v>
      </c>
      <c r="L235" s="7">
        <f>J235</f>
        <v>32618.25</v>
      </c>
      <c r="M235" s="7">
        <f>K235</f>
        <v>64425.761116092603</v>
      </c>
      <c r="P235" t="s">
        <v>219</v>
      </c>
      <c r="Q235">
        <v>106100</v>
      </c>
      <c r="R235" s="7"/>
      <c r="S235" s="7"/>
      <c r="T235" s="7">
        <v>81423</v>
      </c>
      <c r="U235" s="7">
        <v>159859.43219579101</v>
      </c>
      <c r="W235" t="s">
        <v>221</v>
      </c>
      <c r="X235">
        <v>106093</v>
      </c>
      <c r="Y235" s="7"/>
      <c r="Z235" s="7"/>
      <c r="AA235" s="7">
        <v>62293.5</v>
      </c>
      <c r="AB235" s="7">
        <v>119640.191465795</v>
      </c>
    </row>
    <row r="236" spans="1:28" x14ac:dyDescent="0.3">
      <c r="A236" s="10" t="s">
        <v>218</v>
      </c>
      <c r="B236">
        <v>106084</v>
      </c>
      <c r="C236" s="5">
        <v>43654.5</v>
      </c>
      <c r="D236" s="7">
        <v>83919.50762171</v>
      </c>
      <c r="H236" s="43" t="s">
        <v>221</v>
      </c>
      <c r="I236" s="45">
        <v>100188</v>
      </c>
      <c r="J236" s="46">
        <v>32618.25</v>
      </c>
      <c r="K236" s="48">
        <v>64425.761116092603</v>
      </c>
      <c r="L236" s="7">
        <f>J236</f>
        <v>32618.25</v>
      </c>
      <c r="M236" s="7">
        <f>K236</f>
        <v>64425.761116092603</v>
      </c>
      <c r="P236" t="s">
        <v>218</v>
      </c>
      <c r="Q236">
        <v>106101</v>
      </c>
      <c r="R236" s="7"/>
      <c r="S236" s="7"/>
      <c r="T236" s="7">
        <v>109626.75</v>
      </c>
      <c r="U236" s="7">
        <v>215288.07954005999</v>
      </c>
      <c r="W236" t="s">
        <v>221</v>
      </c>
      <c r="X236">
        <v>106094</v>
      </c>
      <c r="Y236" s="7"/>
      <c r="Z236" s="7"/>
      <c r="AA236" s="7">
        <v>29920.5</v>
      </c>
      <c r="AB236" s="7">
        <v>59445.215992404701</v>
      </c>
    </row>
    <row r="237" spans="1:28" x14ac:dyDescent="0.3">
      <c r="A237" s="10" t="s">
        <v>219</v>
      </c>
      <c r="B237">
        <v>106085</v>
      </c>
      <c r="C237" s="5">
        <v>34923.599999999999</v>
      </c>
      <c r="D237" s="7">
        <v>69491.993037607506</v>
      </c>
      <c r="E237" s="7">
        <f t="shared" ref="E237:F239" si="8">C237</f>
        <v>34923.599999999999</v>
      </c>
      <c r="F237" s="7">
        <f t="shared" si="8"/>
        <v>69491.993037607506</v>
      </c>
      <c r="H237" s="43" t="s">
        <v>227</v>
      </c>
      <c r="I237" s="45">
        <v>106035</v>
      </c>
      <c r="J237" s="46">
        <v>41202</v>
      </c>
      <c r="K237" s="48">
        <v>81134.686692336094</v>
      </c>
      <c r="L237" s="7">
        <f>J237+J238</f>
        <v>90006.75</v>
      </c>
      <c r="M237" s="7">
        <f>K237+K238</f>
        <v>175872.1525396909</v>
      </c>
      <c r="P237" t="s">
        <v>219</v>
      </c>
      <c r="Q237">
        <v>106102</v>
      </c>
      <c r="R237" s="7"/>
      <c r="S237" s="7"/>
      <c r="T237" s="7">
        <v>111098.25</v>
      </c>
      <c r="U237" s="7">
        <v>216144.94751832899</v>
      </c>
      <c r="W237" t="s">
        <v>227</v>
      </c>
      <c r="X237">
        <v>106104</v>
      </c>
      <c r="Y237" s="7"/>
      <c r="Z237" s="7"/>
      <c r="AA237" s="7">
        <v>56162.25</v>
      </c>
      <c r="AB237" s="7">
        <v>111178.620180389</v>
      </c>
    </row>
    <row r="238" spans="1:28" x14ac:dyDescent="0.3">
      <c r="A238" s="10" t="s">
        <v>220</v>
      </c>
      <c r="B238">
        <v>106086</v>
      </c>
      <c r="C238" s="5">
        <v>42379.199999999997</v>
      </c>
      <c r="D238" s="7">
        <v>83030.507094255998</v>
      </c>
      <c r="E238" s="7">
        <f t="shared" si="8"/>
        <v>42379.199999999997</v>
      </c>
      <c r="F238" s="7">
        <f t="shared" si="8"/>
        <v>83030.507094255998</v>
      </c>
      <c r="H238" s="43" t="s">
        <v>228</v>
      </c>
      <c r="I238" s="45">
        <v>106035</v>
      </c>
      <c r="J238" s="46">
        <v>48804.75</v>
      </c>
      <c r="K238" s="48">
        <v>94737.465847354804</v>
      </c>
      <c r="P238" t="s">
        <v>220</v>
      </c>
      <c r="Q238">
        <v>106103</v>
      </c>
      <c r="R238" s="7"/>
      <c r="S238" s="7"/>
      <c r="T238" s="7">
        <v>110853</v>
      </c>
      <c r="U238" s="7">
        <v>215716.51352919501</v>
      </c>
      <c r="W238" t="s">
        <v>228</v>
      </c>
      <c r="X238">
        <v>106105</v>
      </c>
      <c r="Y238" s="7"/>
      <c r="Z238" s="7"/>
      <c r="AA238" s="7">
        <v>30411</v>
      </c>
      <c r="AB238" s="7">
        <v>60409.192467957197</v>
      </c>
    </row>
    <row r="239" spans="1:28" x14ac:dyDescent="0.3">
      <c r="A239" s="10" t="s">
        <v>216</v>
      </c>
      <c r="B239">
        <v>106088</v>
      </c>
      <c r="C239" s="5">
        <v>41202</v>
      </c>
      <c r="D239" s="7">
        <v>80813.361200485306</v>
      </c>
      <c r="E239" s="7">
        <f t="shared" si="8"/>
        <v>41202</v>
      </c>
      <c r="F239" s="7">
        <f t="shared" si="8"/>
        <v>80813.361200485306</v>
      </c>
      <c r="H239" s="43" t="s">
        <v>228</v>
      </c>
      <c r="I239" s="45">
        <v>106036</v>
      </c>
      <c r="J239" s="46">
        <v>48804.75</v>
      </c>
      <c r="K239" s="48">
        <v>94737.465847354804</v>
      </c>
      <c r="L239" s="7">
        <f>J239+J240</f>
        <v>98345.25</v>
      </c>
      <c r="M239" s="7">
        <f>K239+K240</f>
        <v>192206.19837544172</v>
      </c>
      <c r="P239" t="s">
        <v>216</v>
      </c>
      <c r="R239" s="7"/>
      <c r="S239" s="7"/>
      <c r="W239" t="s">
        <v>228</v>
      </c>
      <c r="X239">
        <v>106106</v>
      </c>
      <c r="Y239" s="7"/>
      <c r="Z239" s="7"/>
      <c r="AA239" s="7">
        <v>62784</v>
      </c>
      <c r="AB239" s="7">
        <v>120604.167941347</v>
      </c>
    </row>
    <row r="240" spans="1:28" x14ac:dyDescent="0.3">
      <c r="A240" s="10" t="s">
        <v>215</v>
      </c>
      <c r="B240">
        <v>106095</v>
      </c>
      <c r="C240" s="5">
        <v>51747.75</v>
      </c>
      <c r="D240" s="7">
        <v>101163.975684372</v>
      </c>
      <c r="E240" s="7">
        <f>C240+C241</f>
        <v>92949.75</v>
      </c>
      <c r="F240" s="7">
        <f>D240+D241</f>
        <v>181977.3368848573</v>
      </c>
      <c r="H240" s="43" t="s">
        <v>229</v>
      </c>
      <c r="I240" s="45">
        <v>106036</v>
      </c>
      <c r="J240" s="46">
        <v>49540.5</v>
      </c>
      <c r="K240" s="48">
        <v>97468.732528086897</v>
      </c>
      <c r="P240" t="s">
        <v>215</v>
      </c>
      <c r="R240" s="7"/>
      <c r="S240" s="7"/>
      <c r="W240" t="s">
        <v>229</v>
      </c>
      <c r="X240">
        <v>106107</v>
      </c>
      <c r="Y240" s="7"/>
      <c r="Z240" s="7"/>
      <c r="AA240" s="7">
        <v>73659.085714285698</v>
      </c>
      <c r="AB240" s="7">
        <v>143672.27801345801</v>
      </c>
    </row>
    <row r="241" spans="1:26" x14ac:dyDescent="0.3">
      <c r="A241" s="10" t="s">
        <v>216</v>
      </c>
      <c r="B241">
        <v>106095</v>
      </c>
      <c r="C241" s="5">
        <v>41202</v>
      </c>
      <c r="D241" s="7">
        <v>80813.361200485306</v>
      </c>
      <c r="H241" s="43" t="s">
        <v>229</v>
      </c>
      <c r="I241" s="45">
        <v>106037</v>
      </c>
      <c r="J241" s="46">
        <v>49540.5</v>
      </c>
      <c r="K241" s="48">
        <v>97468.732528086897</v>
      </c>
      <c r="L241" s="7">
        <f>J241+J242</f>
        <v>99571.5</v>
      </c>
      <c r="M241" s="7">
        <f>K241+K242</f>
        <v>193705.71733741229</v>
      </c>
      <c r="P241" t="s">
        <v>216</v>
      </c>
      <c r="R241" s="7"/>
      <c r="S241" s="7"/>
      <c r="W241" t="s">
        <v>229</v>
      </c>
      <c r="Y241" s="7"/>
      <c r="Z241" s="7"/>
    </row>
    <row r="242" spans="1:26" x14ac:dyDescent="0.3">
      <c r="A242" s="10" t="s">
        <v>214</v>
      </c>
      <c r="B242">
        <v>106096</v>
      </c>
      <c r="C242" s="5">
        <v>54445.5</v>
      </c>
      <c r="D242" s="7">
        <v>107483.37702410499</v>
      </c>
      <c r="E242" s="7">
        <f>C242+C243</f>
        <v>106193.25</v>
      </c>
      <c r="F242" s="7">
        <f>D242+D243</f>
        <v>208647.352708477</v>
      </c>
      <c r="H242" s="43" t="s">
        <v>230</v>
      </c>
      <c r="I242" s="45">
        <v>106037</v>
      </c>
      <c r="J242" s="46">
        <v>50031</v>
      </c>
      <c r="K242" s="48">
        <v>96236.984809325397</v>
      </c>
      <c r="P242" t="s">
        <v>214</v>
      </c>
      <c r="R242" s="7"/>
      <c r="S242" s="7"/>
      <c r="W242" t="s">
        <v>230</v>
      </c>
      <c r="Y242" s="7"/>
      <c r="Z242" s="7"/>
    </row>
    <row r="243" spans="1:26" x14ac:dyDescent="0.3">
      <c r="A243" s="10" t="s">
        <v>215</v>
      </c>
      <c r="B243">
        <v>106096</v>
      </c>
      <c r="C243" s="5">
        <v>51747.75</v>
      </c>
      <c r="D243" s="7">
        <v>101163.975684372</v>
      </c>
      <c r="H243" s="43" t="s">
        <v>230</v>
      </c>
      <c r="I243" s="45">
        <v>106038</v>
      </c>
      <c r="J243" s="46">
        <v>50031</v>
      </c>
      <c r="K243" s="48">
        <v>96236.984809325397</v>
      </c>
      <c r="L243" s="7">
        <f>J243+J244</f>
        <v>94960.8</v>
      </c>
      <c r="M243" s="7">
        <f>K243+K244</f>
        <v>183080.55440687801</v>
      </c>
      <c r="P243" t="s">
        <v>215</v>
      </c>
      <c r="R243" s="7"/>
      <c r="S243" s="7"/>
      <c r="W243" t="s">
        <v>230</v>
      </c>
      <c r="Y243" s="7"/>
      <c r="Z243" s="7"/>
    </row>
    <row r="244" spans="1:26" x14ac:dyDescent="0.3">
      <c r="A244" s="10" t="s">
        <v>213</v>
      </c>
      <c r="B244">
        <v>106097</v>
      </c>
      <c r="C244" s="5">
        <v>56407.5</v>
      </c>
      <c r="D244" s="7">
        <v>108233.13650509001</v>
      </c>
      <c r="E244" s="7">
        <f>C244+C245</f>
        <v>110853</v>
      </c>
      <c r="F244" s="7">
        <f>D244+D245</f>
        <v>215716.51352919498</v>
      </c>
      <c r="H244" s="43" t="s">
        <v>231</v>
      </c>
      <c r="I244" s="45">
        <v>106038</v>
      </c>
      <c r="J244" s="46">
        <v>44929.8</v>
      </c>
      <c r="K244" s="48">
        <v>86843.569597552603</v>
      </c>
      <c r="P244" t="s">
        <v>213</v>
      </c>
      <c r="R244" s="7"/>
      <c r="S244" s="7"/>
      <c r="W244" t="s">
        <v>231</v>
      </c>
      <c r="Y244" s="7"/>
      <c r="Z244" s="7"/>
    </row>
    <row r="245" spans="1:26" x14ac:dyDescent="0.3">
      <c r="A245" s="10" t="s">
        <v>214</v>
      </c>
      <c r="B245">
        <v>106097</v>
      </c>
      <c r="C245" s="5">
        <v>54445.5</v>
      </c>
      <c r="D245" s="7">
        <v>107483.37702410499</v>
      </c>
      <c r="H245" s="43" t="s">
        <v>232</v>
      </c>
      <c r="I245" s="45">
        <v>106040</v>
      </c>
      <c r="J245" s="46">
        <v>28729.285714285699</v>
      </c>
      <c r="K245" s="48">
        <v>56828.708415904999</v>
      </c>
      <c r="L245" s="7">
        <f>J245</f>
        <v>28729.285714285699</v>
      </c>
      <c r="M245" s="7">
        <f>K245</f>
        <v>56828.708415904999</v>
      </c>
      <c r="P245" t="s">
        <v>214</v>
      </c>
      <c r="R245" s="7"/>
      <c r="S245" s="7"/>
      <c r="W245" t="s">
        <v>232</v>
      </c>
      <c r="Y245" s="7"/>
      <c r="Z245" s="7"/>
    </row>
    <row r="246" spans="1:26" x14ac:dyDescent="0.3">
      <c r="A246" s="10" t="s">
        <v>214</v>
      </c>
      <c r="B246">
        <v>106098</v>
      </c>
      <c r="C246" s="5">
        <v>54445.5</v>
      </c>
      <c r="D246" s="7">
        <v>107483.37702410499</v>
      </c>
      <c r="E246" s="7">
        <f>C246+C247</f>
        <v>106193.25</v>
      </c>
      <c r="F246" s="7">
        <f>D246+D247</f>
        <v>208647.352708477</v>
      </c>
      <c r="H246" s="43" t="s">
        <v>222</v>
      </c>
      <c r="I246" s="45">
        <v>106041</v>
      </c>
      <c r="J246" s="46">
        <v>23544</v>
      </c>
      <c r="K246" s="48">
        <v>46752.859064296601</v>
      </c>
      <c r="L246" s="7">
        <f>J246+J247</f>
        <v>64500.75</v>
      </c>
      <c r="M246" s="7">
        <f>K246+K247</f>
        <v>128262.4254971253</v>
      </c>
      <c r="P246" t="s">
        <v>214</v>
      </c>
      <c r="R246" s="7"/>
      <c r="S246" s="7"/>
      <c r="W246" t="s">
        <v>222</v>
      </c>
      <c r="Y246" s="7"/>
      <c r="Z246" s="7"/>
    </row>
    <row r="247" spans="1:26" x14ac:dyDescent="0.3">
      <c r="A247" s="10" t="s">
        <v>215</v>
      </c>
      <c r="B247">
        <v>106098</v>
      </c>
      <c r="C247" s="5">
        <v>51747.75</v>
      </c>
      <c r="D247" s="7">
        <v>101163.975684372</v>
      </c>
      <c r="H247" s="43" t="s">
        <v>223</v>
      </c>
      <c r="I247" s="45">
        <v>106041</v>
      </c>
      <c r="J247" s="46">
        <v>40956.75</v>
      </c>
      <c r="K247" s="48">
        <v>81509.566432828695</v>
      </c>
      <c r="P247" t="s">
        <v>215</v>
      </c>
      <c r="R247" s="7"/>
      <c r="S247" s="7"/>
      <c r="W247" t="s">
        <v>223</v>
      </c>
      <c r="Y247" s="7"/>
      <c r="Z247" s="7"/>
    </row>
    <row r="248" spans="1:26" x14ac:dyDescent="0.3">
      <c r="A248" s="10" t="s">
        <v>215</v>
      </c>
      <c r="B248">
        <v>106099</v>
      </c>
      <c r="C248" s="5">
        <v>51747.75</v>
      </c>
      <c r="D248" s="7">
        <v>101163.975684372</v>
      </c>
      <c r="E248" s="7">
        <f>C248+C249</f>
        <v>92949.75</v>
      </c>
      <c r="F248" s="7">
        <f>D248+D249</f>
        <v>181977.3368848573</v>
      </c>
      <c r="H248" s="43" t="s">
        <v>223</v>
      </c>
      <c r="I248" s="45">
        <v>106042</v>
      </c>
      <c r="J248" s="46">
        <v>40956.75</v>
      </c>
      <c r="K248" s="48">
        <v>81509.566432828695</v>
      </c>
      <c r="L248" s="7">
        <f>J248</f>
        <v>40956.75</v>
      </c>
      <c r="M248" s="7">
        <f>K248</f>
        <v>81509.566432828695</v>
      </c>
      <c r="P248" t="s">
        <v>215</v>
      </c>
      <c r="R248" s="7"/>
      <c r="S248" s="7"/>
      <c r="W248" t="s">
        <v>223</v>
      </c>
      <c r="Y248" s="7"/>
      <c r="Z248" s="7"/>
    </row>
    <row r="249" spans="1:26" x14ac:dyDescent="0.3">
      <c r="A249" s="10" t="s">
        <v>216</v>
      </c>
      <c r="B249">
        <v>106099</v>
      </c>
      <c r="C249" s="5">
        <v>41202</v>
      </c>
      <c r="D249" s="7">
        <v>80813.361200485306</v>
      </c>
      <c r="H249" s="43" t="s">
        <v>227</v>
      </c>
      <c r="I249" s="45">
        <v>106045</v>
      </c>
      <c r="J249" s="46">
        <v>41202</v>
      </c>
      <c r="K249" s="48">
        <v>81134.686692336094</v>
      </c>
      <c r="L249" s="7">
        <f>J249</f>
        <v>41202</v>
      </c>
      <c r="M249" s="7">
        <f>K249</f>
        <v>81134.686692336094</v>
      </c>
      <c r="P249" t="s">
        <v>216</v>
      </c>
      <c r="R249" s="7"/>
      <c r="S249" s="7"/>
      <c r="W249" t="s">
        <v>227</v>
      </c>
      <c r="Y249" s="7"/>
      <c r="Z249" s="7"/>
    </row>
    <row r="250" spans="1:26" x14ac:dyDescent="0.3">
      <c r="A250" s="10" t="s">
        <v>211</v>
      </c>
      <c r="B250">
        <v>106100</v>
      </c>
      <c r="C250" s="5">
        <v>54936</v>
      </c>
      <c r="D250" s="7">
        <v>107376.268526821</v>
      </c>
      <c r="E250" s="7">
        <f>C250+C251</f>
        <v>81423</v>
      </c>
      <c r="F250" s="7">
        <f>D250+D251</f>
        <v>159859.4321957909</v>
      </c>
      <c r="H250" s="43" t="s">
        <v>225</v>
      </c>
      <c r="I250" s="45">
        <v>106093</v>
      </c>
      <c r="J250" s="46">
        <v>32373</v>
      </c>
      <c r="K250" s="48">
        <v>60194.975473389997</v>
      </c>
      <c r="L250" s="7">
        <f>J250+J251</f>
        <v>62293.5</v>
      </c>
      <c r="M250" s="7">
        <f>K250+K251</f>
        <v>119640.19146579469</v>
      </c>
      <c r="P250" t="s">
        <v>211</v>
      </c>
      <c r="R250" s="7"/>
      <c r="S250" s="7"/>
      <c r="W250" t="s">
        <v>225</v>
      </c>
      <c r="Y250" s="7"/>
      <c r="Z250" s="7"/>
    </row>
    <row r="251" spans="1:26" x14ac:dyDescent="0.3">
      <c r="A251" s="10" t="s">
        <v>210</v>
      </c>
      <c r="B251">
        <v>106100</v>
      </c>
      <c r="C251" s="5">
        <v>26487</v>
      </c>
      <c r="D251" s="7">
        <v>52483.163668969901</v>
      </c>
      <c r="H251" s="43" t="s">
        <v>226</v>
      </c>
      <c r="I251" s="45">
        <v>106093</v>
      </c>
      <c r="J251" s="46">
        <v>29920.5</v>
      </c>
      <c r="K251" s="48">
        <v>59445.215992404701</v>
      </c>
      <c r="P251" t="s">
        <v>210</v>
      </c>
      <c r="R251" s="7"/>
      <c r="S251" s="7"/>
      <c r="W251" t="s">
        <v>226</v>
      </c>
      <c r="Y251" s="7"/>
      <c r="Z251" s="7"/>
    </row>
    <row r="252" spans="1:26" x14ac:dyDescent="0.3">
      <c r="A252" s="10" t="s">
        <v>212</v>
      </c>
      <c r="B252">
        <v>106101</v>
      </c>
      <c r="C252" s="5">
        <v>54690.75</v>
      </c>
      <c r="D252" s="7">
        <v>107911.811013239</v>
      </c>
      <c r="E252" s="7">
        <f>C252+C253</f>
        <v>109626.75</v>
      </c>
      <c r="F252" s="7">
        <f>D252+D253</f>
        <v>215288.07954006002</v>
      </c>
      <c r="H252" s="43" t="s">
        <v>226</v>
      </c>
      <c r="I252" s="45">
        <v>106094</v>
      </c>
      <c r="J252" s="46">
        <v>29920.5</v>
      </c>
      <c r="K252" s="48">
        <v>59445.215992404701</v>
      </c>
      <c r="L252" s="7">
        <f>J252</f>
        <v>29920.5</v>
      </c>
      <c r="M252" s="7">
        <f>K252</f>
        <v>59445.215992404701</v>
      </c>
      <c r="P252" t="s">
        <v>212</v>
      </c>
      <c r="R252" s="7"/>
      <c r="S252" s="7"/>
      <c r="W252" t="s">
        <v>226</v>
      </c>
      <c r="Y252" s="7"/>
      <c r="Z252" s="7"/>
    </row>
    <row r="253" spans="1:26" x14ac:dyDescent="0.3">
      <c r="A253" s="10" t="s">
        <v>211</v>
      </c>
      <c r="B253">
        <v>106101</v>
      </c>
      <c r="C253" s="5">
        <v>54936</v>
      </c>
      <c r="D253" s="7">
        <v>107376.268526821</v>
      </c>
      <c r="H253" s="43" t="s">
        <v>221</v>
      </c>
      <c r="I253" s="45">
        <v>106104</v>
      </c>
      <c r="J253" s="46">
        <v>32618.25</v>
      </c>
      <c r="K253" s="48">
        <v>64425.761116092603</v>
      </c>
      <c r="L253" s="7">
        <f>J253+J254</f>
        <v>56162.25</v>
      </c>
      <c r="M253" s="7">
        <f>K253+K254</f>
        <v>111178.6201803892</v>
      </c>
      <c r="P253" t="s">
        <v>211</v>
      </c>
      <c r="R253" s="7"/>
      <c r="S253" s="7"/>
      <c r="W253" t="s">
        <v>221</v>
      </c>
      <c r="Y253" s="7"/>
      <c r="Z253" s="7"/>
    </row>
    <row r="254" spans="1:26" x14ac:dyDescent="0.3">
      <c r="A254" s="10" t="s">
        <v>213</v>
      </c>
      <c r="B254">
        <v>106102</v>
      </c>
      <c r="C254" s="5">
        <v>56407.5</v>
      </c>
      <c r="D254" s="7">
        <v>108233.13650509001</v>
      </c>
      <c r="E254" s="7">
        <f>C254+C255</f>
        <v>111098.25</v>
      </c>
      <c r="F254" s="7">
        <f>D254+D255</f>
        <v>216144.94751832902</v>
      </c>
      <c r="H254" s="43" t="s">
        <v>222</v>
      </c>
      <c r="I254" s="45">
        <v>106104</v>
      </c>
      <c r="J254" s="46">
        <v>23544</v>
      </c>
      <c r="K254" s="48">
        <v>46752.859064296601</v>
      </c>
      <c r="P254" t="s">
        <v>213</v>
      </c>
      <c r="R254" s="7"/>
      <c r="S254" s="7"/>
      <c r="W254" t="s">
        <v>222</v>
      </c>
      <c r="Y254" s="7"/>
      <c r="Z254" s="7"/>
    </row>
    <row r="255" spans="1:26" x14ac:dyDescent="0.3">
      <c r="A255" s="10" t="s">
        <v>212</v>
      </c>
      <c r="B255">
        <v>106102</v>
      </c>
      <c r="C255" s="5">
        <v>54690.75</v>
      </c>
      <c r="D255" s="7">
        <v>107911.811013239</v>
      </c>
      <c r="H255" s="43" t="s">
        <v>224</v>
      </c>
      <c r="I255" s="45">
        <v>106105</v>
      </c>
      <c r="J255" s="46">
        <v>30411</v>
      </c>
      <c r="K255" s="48">
        <v>60409.192467957197</v>
      </c>
      <c r="L255" s="7">
        <f>J255</f>
        <v>30411</v>
      </c>
      <c r="M255" s="7">
        <f>K255</f>
        <v>60409.192467957197</v>
      </c>
      <c r="P255" t="s">
        <v>212</v>
      </c>
      <c r="R255" s="7"/>
      <c r="S255" s="7"/>
      <c r="W255" t="s">
        <v>224</v>
      </c>
      <c r="Y255" s="7"/>
      <c r="Z255" s="7"/>
    </row>
    <row r="256" spans="1:26" x14ac:dyDescent="0.3">
      <c r="A256" s="10" t="s">
        <v>213</v>
      </c>
      <c r="B256">
        <v>106103</v>
      </c>
      <c r="C256" s="5">
        <v>56407.5</v>
      </c>
      <c r="D256" s="7">
        <v>108233.13650509001</v>
      </c>
      <c r="E256" s="7">
        <f>C256+C257</f>
        <v>110853</v>
      </c>
      <c r="F256" s="7">
        <f>D256+D257</f>
        <v>215716.51352919498</v>
      </c>
      <c r="H256" s="43" t="s">
        <v>224</v>
      </c>
      <c r="I256" s="45">
        <v>106106</v>
      </c>
      <c r="J256" s="46">
        <v>30411</v>
      </c>
      <c r="K256" s="48">
        <v>60409.192467957197</v>
      </c>
      <c r="L256" s="7">
        <f>J256+J257</f>
        <v>62784</v>
      </c>
      <c r="M256" s="7">
        <f>K256+K257</f>
        <v>120604.1679413472</v>
      </c>
      <c r="P256" t="s">
        <v>213</v>
      </c>
      <c r="R256" s="7"/>
      <c r="S256" s="7"/>
      <c r="W256" t="s">
        <v>224</v>
      </c>
      <c r="Y256" s="7"/>
      <c r="Z256" s="7"/>
    </row>
    <row r="257" spans="1:26" x14ac:dyDescent="0.3">
      <c r="A257" s="10" t="s">
        <v>214</v>
      </c>
      <c r="B257">
        <v>106103</v>
      </c>
      <c r="C257" s="5">
        <v>54445.5</v>
      </c>
      <c r="D257" s="7">
        <v>107483.37702410499</v>
      </c>
      <c r="H257" s="43" t="s">
        <v>225</v>
      </c>
      <c r="I257" s="45">
        <v>106106</v>
      </c>
      <c r="J257" s="46">
        <v>32373</v>
      </c>
      <c r="K257" s="48">
        <v>60194.975473389997</v>
      </c>
      <c r="P257" t="s">
        <v>214</v>
      </c>
      <c r="R257" s="7"/>
      <c r="S257" s="7"/>
      <c r="W257" t="s">
        <v>225</v>
      </c>
      <c r="Y257" s="7"/>
      <c r="Z257" s="7"/>
    </row>
    <row r="258" spans="1:26" x14ac:dyDescent="0.3">
      <c r="A258" s="10" t="s">
        <v>209</v>
      </c>
      <c r="C258" s="5"/>
      <c r="D258" s="7"/>
      <c r="H258" s="43" t="s">
        <v>231</v>
      </c>
      <c r="I258" s="45">
        <v>106107</v>
      </c>
      <c r="J258" s="46">
        <v>44929.8</v>
      </c>
      <c r="K258" s="48">
        <v>86843.569597552603</v>
      </c>
      <c r="L258" s="7">
        <f>J258+J259</f>
        <v>73659.085714285698</v>
      </c>
      <c r="M258" s="7">
        <f>K258+K259</f>
        <v>143672.2780134576</v>
      </c>
      <c r="P258" t="s">
        <v>209</v>
      </c>
      <c r="W258" t="s">
        <v>231</v>
      </c>
      <c r="Y258" s="7"/>
      <c r="Z258" s="7"/>
    </row>
    <row r="259" spans="1:26" x14ac:dyDescent="0.3">
      <c r="A259" s="10" t="s">
        <v>210</v>
      </c>
      <c r="C259" s="5"/>
      <c r="D259" s="7"/>
      <c r="H259" s="43" t="s">
        <v>232</v>
      </c>
      <c r="I259" s="45">
        <v>106107</v>
      </c>
      <c r="J259" s="46">
        <v>28729.285714285699</v>
      </c>
      <c r="K259" s="48">
        <v>56828.708415904999</v>
      </c>
      <c r="P259" t="s">
        <v>210</v>
      </c>
      <c r="W259" t="s">
        <v>232</v>
      </c>
      <c r="Y259" s="7"/>
      <c r="Z259" s="7"/>
    </row>
    <row r="260" spans="1:26" x14ac:dyDescent="0.3">
      <c r="A260" s="10" t="s">
        <v>211</v>
      </c>
      <c r="C260" s="5"/>
      <c r="D260" s="7"/>
      <c r="H260" s="43" t="s">
        <v>221</v>
      </c>
      <c r="J260" s="46"/>
      <c r="K260" s="48"/>
    </row>
    <row r="261" spans="1:26" x14ac:dyDescent="0.3">
      <c r="A261" s="10" t="s">
        <v>212</v>
      </c>
      <c r="C261" s="5"/>
      <c r="D261" s="7"/>
      <c r="H261" s="43" t="s">
        <v>222</v>
      </c>
      <c r="J261" s="46"/>
      <c r="K261" s="48"/>
    </row>
    <row r="262" spans="1:26" x14ac:dyDescent="0.3">
      <c r="A262" s="10" t="s">
        <v>213</v>
      </c>
      <c r="C262" s="5"/>
      <c r="D262" s="7"/>
      <c r="H262" s="43" t="s">
        <v>223</v>
      </c>
      <c r="J262" s="46"/>
      <c r="K262" s="48"/>
    </row>
    <row r="263" spans="1:26" x14ac:dyDescent="0.3">
      <c r="A263" s="10" t="s">
        <v>214</v>
      </c>
      <c r="C263" s="5"/>
      <c r="D263" s="7"/>
      <c r="H263" s="43" t="s">
        <v>224</v>
      </c>
      <c r="J263" s="46"/>
      <c r="K263" s="48"/>
    </row>
    <row r="264" spans="1:26" x14ac:dyDescent="0.3">
      <c r="A264" s="10" t="s">
        <v>215</v>
      </c>
      <c r="C264" s="5"/>
      <c r="D264" s="7"/>
      <c r="H264" s="43" t="s">
        <v>225</v>
      </c>
      <c r="J264" s="46"/>
      <c r="K264" s="48"/>
    </row>
    <row r="265" spans="1:26" x14ac:dyDescent="0.3">
      <c r="A265" s="10" t="s">
        <v>216</v>
      </c>
      <c r="C265" s="5"/>
      <c r="D265" s="7"/>
      <c r="H265" s="43" t="s">
        <v>226</v>
      </c>
      <c r="J265" s="46"/>
      <c r="K265" s="48"/>
    </row>
    <row r="266" spans="1:26" x14ac:dyDescent="0.3">
      <c r="A266" s="10" t="s">
        <v>217</v>
      </c>
      <c r="C266" s="5"/>
      <c r="D266" s="7"/>
      <c r="H266" s="43" t="s">
        <v>227</v>
      </c>
      <c r="J266" s="46"/>
      <c r="K266" s="48"/>
    </row>
    <row r="267" spans="1:26" x14ac:dyDescent="0.3">
      <c r="A267" s="10" t="s">
        <v>218</v>
      </c>
      <c r="C267" s="5"/>
      <c r="D267" s="7"/>
      <c r="H267" s="43" t="s">
        <v>228</v>
      </c>
      <c r="J267" s="46"/>
      <c r="K267" s="48"/>
    </row>
    <row r="268" spans="1:26" x14ac:dyDescent="0.3">
      <c r="H268" s="43" t="s">
        <v>229</v>
      </c>
      <c r="J268" s="46"/>
      <c r="K268" s="48"/>
    </row>
    <row r="269" spans="1:26" x14ac:dyDescent="0.3">
      <c r="H269" s="43" t="s">
        <v>230</v>
      </c>
      <c r="J269" s="46"/>
      <c r="K269" s="48"/>
    </row>
    <row r="270" spans="1:26" x14ac:dyDescent="0.3">
      <c r="H270" s="43" t="s">
        <v>221</v>
      </c>
      <c r="J270" s="46"/>
      <c r="K270" s="48"/>
    </row>
    <row r="271" spans="1:26" x14ac:dyDescent="0.3">
      <c r="H271" s="43" t="s">
        <v>222</v>
      </c>
      <c r="J271" s="46"/>
      <c r="K271" s="48"/>
    </row>
    <row r="272" spans="1:26" x14ac:dyDescent="0.3">
      <c r="H272" s="43" t="s">
        <v>223</v>
      </c>
      <c r="J272" s="46"/>
      <c r="K272" s="48"/>
    </row>
    <row r="273" spans="8:11" x14ac:dyDescent="0.3">
      <c r="H273" s="43" t="s">
        <v>224</v>
      </c>
      <c r="J273" s="46"/>
      <c r="K273" s="48"/>
    </row>
    <row r="274" spans="8:11" x14ac:dyDescent="0.3">
      <c r="H274" s="43" t="s">
        <v>225</v>
      </c>
      <c r="J274" s="46"/>
      <c r="K274" s="48"/>
    </row>
    <row r="275" spans="8:11" x14ac:dyDescent="0.3">
      <c r="H275" s="43" t="s">
        <v>226</v>
      </c>
      <c r="J275" s="46"/>
      <c r="K275" s="48"/>
    </row>
    <row r="276" spans="8:11" x14ac:dyDescent="0.3">
      <c r="H276" s="43" t="s">
        <v>227</v>
      </c>
      <c r="J276" s="46"/>
      <c r="K276" s="48"/>
    </row>
    <row r="277" spans="8:11" x14ac:dyDescent="0.3">
      <c r="H277" s="43" t="s">
        <v>228</v>
      </c>
      <c r="J277" s="46"/>
      <c r="K277" s="48"/>
    </row>
    <row r="278" spans="8:11" x14ac:dyDescent="0.3">
      <c r="H278" s="43" t="s">
        <v>229</v>
      </c>
      <c r="J278" s="46"/>
      <c r="K278" s="48"/>
    </row>
    <row r="279" spans="8:11" x14ac:dyDescent="0.3">
      <c r="H279" s="43" t="s">
        <v>230</v>
      </c>
      <c r="J279" s="46"/>
      <c r="K279" s="48"/>
    </row>
    <row r="280" spans="8:11" x14ac:dyDescent="0.3">
      <c r="H280" s="43" t="s">
        <v>231</v>
      </c>
      <c r="J280" s="46"/>
      <c r="K280" s="48"/>
    </row>
    <row r="281" spans="8:11" x14ac:dyDescent="0.3">
      <c r="H281" s="43" t="s">
        <v>221</v>
      </c>
      <c r="J281" s="46"/>
      <c r="K281" s="48"/>
    </row>
    <row r="282" spans="8:11" x14ac:dyDescent="0.3">
      <c r="H282" s="43" t="s">
        <v>222</v>
      </c>
      <c r="J282" s="46"/>
      <c r="K282" s="48"/>
    </row>
    <row r="283" spans="8:11" x14ac:dyDescent="0.3">
      <c r="H283" s="43" t="s">
        <v>223</v>
      </c>
      <c r="J283" s="46"/>
      <c r="K283" s="48"/>
    </row>
    <row r="284" spans="8:11" x14ac:dyDescent="0.3">
      <c r="H284" s="43" t="s">
        <v>224</v>
      </c>
      <c r="J284" s="46"/>
      <c r="K284" s="48"/>
    </row>
    <row r="285" spans="8:11" x14ac:dyDescent="0.3">
      <c r="H285" s="43" t="s">
        <v>225</v>
      </c>
      <c r="J285" s="46"/>
      <c r="K285" s="48"/>
    </row>
    <row r="286" spans="8:11" x14ac:dyDescent="0.3">
      <c r="H286" s="43" t="s">
        <v>226</v>
      </c>
      <c r="J286" s="46"/>
      <c r="K286" s="48"/>
    </row>
    <row r="287" spans="8:11" x14ac:dyDescent="0.3">
      <c r="H287" s="43" t="s">
        <v>227</v>
      </c>
      <c r="J287" s="46"/>
      <c r="K287" s="48"/>
    </row>
    <row r="288" spans="8:11" x14ac:dyDescent="0.3">
      <c r="H288" s="43" t="s">
        <v>228</v>
      </c>
      <c r="J288" s="46"/>
      <c r="K288" s="48"/>
    </row>
    <row r="289" spans="8:11" x14ac:dyDescent="0.3">
      <c r="H289" s="43" t="s">
        <v>229</v>
      </c>
      <c r="J289" s="46"/>
      <c r="K289" s="48"/>
    </row>
    <row r="290" spans="8:11" x14ac:dyDescent="0.3">
      <c r="H290" s="43" t="s">
        <v>230</v>
      </c>
      <c r="J290" s="46"/>
      <c r="K290" s="48"/>
    </row>
    <row r="291" spans="8:11" x14ac:dyDescent="0.3">
      <c r="H291" s="43" t="s">
        <v>231</v>
      </c>
      <c r="J291" s="46"/>
      <c r="K291" s="48"/>
    </row>
  </sheetData>
  <phoneticPr fontId="1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X114"/>
  <sheetViews>
    <sheetView tabSelected="1" topLeftCell="A85" zoomScaleNormal="100" workbookViewId="0">
      <selection activeCell="H11" sqref="H11"/>
    </sheetView>
  </sheetViews>
  <sheetFormatPr defaultRowHeight="16.5" x14ac:dyDescent="0.3"/>
  <cols>
    <col min="1" max="1" width="11.625" customWidth="1"/>
    <col min="2" max="2" width="12.625" customWidth="1"/>
    <col min="3" max="6" width="12.625" style="4" customWidth="1"/>
    <col min="7" max="7" width="12.375" style="4" customWidth="1"/>
    <col min="8" max="9" width="11.625" customWidth="1"/>
    <col min="10" max="13" width="10.75" customWidth="1"/>
    <col min="14" max="14" width="8.625" customWidth="1"/>
    <col min="15" max="15" width="15.25" customWidth="1"/>
    <col min="16" max="1025" width="8.625" customWidth="1"/>
  </cols>
  <sheetData>
    <row r="2" spans="1:18" x14ac:dyDescent="0.3">
      <c r="A2" s="50" t="s">
        <v>235</v>
      </c>
      <c r="B2" s="4"/>
      <c r="E2" s="51" t="s">
        <v>236</v>
      </c>
      <c r="M2" s="52"/>
      <c r="N2" s="53"/>
      <c r="O2" s="53"/>
      <c r="P2" s="54"/>
      <c r="Q2" s="54"/>
      <c r="R2" s="54"/>
    </row>
    <row r="3" spans="1:18" x14ac:dyDescent="0.3">
      <c r="A3" s="55" t="s">
        <v>237</v>
      </c>
      <c r="B3" s="55" t="s">
        <v>238</v>
      </c>
      <c r="C3" s="55" t="s">
        <v>239</v>
      </c>
      <c r="E3" s="4" t="s">
        <v>240</v>
      </c>
      <c r="G3" s="4" t="s">
        <v>241</v>
      </c>
      <c r="M3" s="54"/>
      <c r="N3" s="54"/>
      <c r="O3" s="53"/>
      <c r="P3" s="54"/>
      <c r="Q3" s="54"/>
      <c r="R3" s="53"/>
    </row>
    <row r="4" spans="1:18" x14ac:dyDescent="0.3">
      <c r="A4" s="10" t="s">
        <v>242</v>
      </c>
      <c r="B4" s="56">
        <v>17.945</v>
      </c>
      <c r="C4" s="22">
        <v>558.74</v>
      </c>
      <c r="D4" s="4">
        <f>C4*1.2</f>
        <v>670.48799999999994</v>
      </c>
      <c r="E4" s="57" t="s">
        <v>243</v>
      </c>
      <c r="F4" s="58">
        <f>267.8*1.2</f>
        <v>321.36</v>
      </c>
      <c r="G4" s="59" t="s">
        <v>244</v>
      </c>
      <c r="H4" s="60">
        <v>200</v>
      </c>
      <c r="M4" s="54"/>
      <c r="N4" s="54"/>
      <c r="O4" s="54"/>
      <c r="P4" s="54"/>
      <c r="Q4" s="54"/>
      <c r="R4" s="54"/>
    </row>
    <row r="5" spans="1:18" x14ac:dyDescent="0.3">
      <c r="A5" s="10" t="s">
        <v>245</v>
      </c>
      <c r="B5" s="56">
        <v>20.94</v>
      </c>
      <c r="C5" s="22">
        <v>686.64</v>
      </c>
      <c r="D5" s="4">
        <f>C5*1.2</f>
        <v>823.96799999999996</v>
      </c>
      <c r="E5" s="61" t="s">
        <v>246</v>
      </c>
      <c r="F5" s="62">
        <f>436.6*1.2</f>
        <v>523.91999999999996</v>
      </c>
      <c r="G5" s="63" t="s">
        <v>247</v>
      </c>
      <c r="H5" s="64">
        <v>200</v>
      </c>
      <c r="M5" s="65"/>
      <c r="N5" s="53"/>
      <c r="O5" s="53"/>
      <c r="P5" s="54"/>
      <c r="Q5" s="54"/>
      <c r="R5" s="54"/>
    </row>
    <row r="6" spans="1:18" x14ac:dyDescent="0.3">
      <c r="A6" s="10" t="s">
        <v>248</v>
      </c>
      <c r="B6" s="56">
        <v>23.68</v>
      </c>
      <c r="C6" s="22">
        <v>529.07000000000005</v>
      </c>
      <c r="D6" s="4">
        <f>C6*1.2</f>
        <v>634.88400000000001</v>
      </c>
      <c r="E6" s="63" t="s">
        <v>249</v>
      </c>
      <c r="F6" s="62">
        <f>52.04*1.2</f>
        <v>62.447999999999993</v>
      </c>
      <c r="G6" s="63"/>
      <c r="H6" s="64"/>
      <c r="M6" s="65"/>
      <c r="N6" s="53"/>
      <c r="O6" s="53"/>
      <c r="P6" s="54"/>
      <c r="Q6" s="54"/>
      <c r="R6" s="54"/>
    </row>
    <row r="7" spans="1:18" x14ac:dyDescent="0.3">
      <c r="A7" s="10" t="s">
        <v>250</v>
      </c>
      <c r="B7" s="56">
        <v>26.4</v>
      </c>
      <c r="C7" s="22">
        <v>561</v>
      </c>
      <c r="D7" s="4">
        <f>C7*1.2</f>
        <v>673.19999999999993</v>
      </c>
      <c r="E7" s="66" t="s">
        <v>251</v>
      </c>
      <c r="F7" s="67">
        <f>730.5*120%</f>
        <v>876.6</v>
      </c>
      <c r="G7" s="68"/>
      <c r="H7" s="69"/>
      <c r="M7" s="65"/>
      <c r="N7" s="53"/>
      <c r="O7" s="53"/>
      <c r="P7" s="54"/>
      <c r="Q7" s="54"/>
      <c r="R7" s="54"/>
    </row>
    <row r="8" spans="1:18" x14ac:dyDescent="0.3">
      <c r="A8" s="10" t="s">
        <v>252</v>
      </c>
      <c r="B8" s="56">
        <v>28.8</v>
      </c>
      <c r="C8" s="22">
        <v>730.5</v>
      </c>
      <c r="D8" s="4">
        <f>C8*1.2</f>
        <v>876.6</v>
      </c>
      <c r="E8" s="70" t="s">
        <v>253</v>
      </c>
      <c r="F8" s="71">
        <f>SUM(F4:F6)</f>
        <v>907.72799999999995</v>
      </c>
      <c r="G8" s="72" t="s">
        <v>253</v>
      </c>
      <c r="H8" s="71">
        <f>SUM(H4:H6)</f>
        <v>400</v>
      </c>
      <c r="J8">
        <f>2033/2</f>
        <v>1016.5</v>
      </c>
      <c r="K8">
        <v>13</v>
      </c>
      <c r="L8">
        <f>J8/K8</f>
        <v>78.192307692307693</v>
      </c>
      <c r="M8" s="65"/>
      <c r="N8" s="53"/>
      <c r="O8" s="53"/>
      <c r="P8" s="54"/>
      <c r="Q8" s="54"/>
      <c r="R8" s="54"/>
    </row>
    <row r="9" spans="1:18" x14ac:dyDescent="0.3">
      <c r="A9" s="10" t="s">
        <v>254</v>
      </c>
      <c r="B9" s="56"/>
      <c r="C9" s="22">
        <v>1156</v>
      </c>
      <c r="E9" s="73"/>
      <c r="F9" s="74"/>
      <c r="G9" s="75"/>
      <c r="H9" s="74"/>
      <c r="M9" s="65"/>
      <c r="N9" s="53"/>
      <c r="O9" s="53"/>
      <c r="P9" s="54"/>
      <c r="Q9" s="54"/>
      <c r="R9" s="54"/>
    </row>
    <row r="10" spans="1:18" x14ac:dyDescent="0.3">
      <c r="A10" s="55" t="s">
        <v>255</v>
      </c>
      <c r="B10" s="55"/>
      <c r="C10" s="76">
        <f>SUM(C4:C8)</f>
        <v>3065.9500000000003</v>
      </c>
      <c r="D10" s="76">
        <f>SUM(D4:D8)</f>
        <v>3679.14</v>
      </c>
      <c r="E10" s="73" t="s">
        <v>256</v>
      </c>
      <c r="F10" s="77">
        <f>F8+H8</f>
        <v>1307.7280000000001</v>
      </c>
      <c r="G10" s="77">
        <f>F10-F7</f>
        <v>431.12800000000004</v>
      </c>
      <c r="H10" s="78"/>
      <c r="M10" s="53"/>
      <c r="N10" s="53"/>
      <c r="O10" s="53"/>
      <c r="P10" s="53"/>
      <c r="Q10" s="53"/>
      <c r="R10" s="53"/>
    </row>
    <row r="12" spans="1:18" x14ac:dyDescent="0.3">
      <c r="A12" s="50" t="s">
        <v>257</v>
      </c>
    </row>
    <row r="13" spans="1:18" x14ac:dyDescent="0.3">
      <c r="A13" s="79" t="s">
        <v>258</v>
      </c>
      <c r="B13" s="55" t="s">
        <v>259</v>
      </c>
      <c r="C13" s="55" t="s">
        <v>260</v>
      </c>
      <c r="D13" s="55" t="s">
        <v>261</v>
      </c>
      <c r="E13" s="55" t="s">
        <v>262</v>
      </c>
      <c r="F13" s="55" t="s">
        <v>263</v>
      </c>
      <c r="G13" s="55" t="s">
        <v>264</v>
      </c>
      <c r="H13" s="2" t="s">
        <v>265</v>
      </c>
      <c r="I13" s="2"/>
      <c r="J13" s="2"/>
      <c r="K13" s="2"/>
      <c r="L13" s="2"/>
      <c r="M13" s="2"/>
      <c r="N13" s="2"/>
    </row>
    <row r="14" spans="1:18" x14ac:dyDescent="0.3">
      <c r="A14" s="11" t="s">
        <v>266</v>
      </c>
      <c r="B14" s="10">
        <v>8.7200000000000006</v>
      </c>
      <c r="C14" s="10">
        <v>1.48</v>
      </c>
      <c r="D14" s="10">
        <f t="shared" ref="D14:D24" si="0">0.39*30.2</f>
        <v>11.778</v>
      </c>
      <c r="E14" s="22">
        <v>12983</v>
      </c>
      <c r="F14" s="22">
        <v>12806</v>
      </c>
      <c r="G14" s="22">
        <f t="shared" ref="G14:G24" si="1">E14+F14</f>
        <v>25789</v>
      </c>
      <c r="H14" s="80" t="s">
        <v>267</v>
      </c>
      <c r="I14" s="81"/>
      <c r="J14" s="81"/>
      <c r="K14" s="81"/>
      <c r="L14" s="81"/>
      <c r="M14" s="81"/>
      <c r="N14" s="82"/>
    </row>
    <row r="15" spans="1:18" x14ac:dyDescent="0.3">
      <c r="A15" s="11" t="s">
        <v>268</v>
      </c>
      <c r="B15" s="10">
        <v>8.7200000000000006</v>
      </c>
      <c r="C15" s="10">
        <v>1.97</v>
      </c>
      <c r="D15" s="10">
        <f t="shared" si="0"/>
        <v>11.778</v>
      </c>
      <c r="E15" s="22">
        <v>12983</v>
      </c>
      <c r="F15" s="22">
        <v>12806</v>
      </c>
      <c r="G15" s="22">
        <f t="shared" si="1"/>
        <v>25789</v>
      </c>
      <c r="H15" s="80" t="s">
        <v>269</v>
      </c>
      <c r="I15" s="81"/>
      <c r="J15" s="81"/>
      <c r="K15" s="81"/>
      <c r="L15" s="81"/>
      <c r="M15" s="81"/>
      <c r="N15" s="82"/>
    </row>
    <row r="16" spans="1:18" x14ac:dyDescent="0.3">
      <c r="A16" s="11" t="s">
        <v>270</v>
      </c>
      <c r="B16" s="10">
        <v>8.7200000000000006</v>
      </c>
      <c r="C16" s="10">
        <v>1.48</v>
      </c>
      <c r="D16" s="10">
        <f t="shared" si="0"/>
        <v>11.778</v>
      </c>
      <c r="E16" s="22">
        <v>12983</v>
      </c>
      <c r="F16" s="22">
        <v>12806</v>
      </c>
      <c r="G16" s="22">
        <f t="shared" si="1"/>
        <v>25789</v>
      </c>
      <c r="H16" s="80" t="s">
        <v>271</v>
      </c>
      <c r="I16" s="81"/>
      <c r="J16" s="81"/>
      <c r="K16" s="81"/>
      <c r="L16" s="81"/>
      <c r="M16" s="81"/>
      <c r="N16" s="82"/>
    </row>
    <row r="17" spans="1:24" x14ac:dyDescent="0.3">
      <c r="A17" s="11" t="s">
        <v>272</v>
      </c>
      <c r="B17" s="10">
        <v>8.7200000000000006</v>
      </c>
      <c r="C17" s="10">
        <v>1.76</v>
      </c>
      <c r="D17" s="10">
        <f t="shared" si="0"/>
        <v>11.778</v>
      </c>
      <c r="E17" s="22">
        <v>12983</v>
      </c>
      <c r="F17" s="22">
        <v>12806</v>
      </c>
      <c r="G17" s="22">
        <f t="shared" si="1"/>
        <v>25789</v>
      </c>
      <c r="H17" s="80" t="s">
        <v>273</v>
      </c>
      <c r="I17" s="81"/>
      <c r="J17" s="81"/>
      <c r="K17" s="81"/>
      <c r="L17" s="81"/>
      <c r="M17" s="81"/>
      <c r="N17" s="82"/>
    </row>
    <row r="18" spans="1:24" x14ac:dyDescent="0.3">
      <c r="A18" s="11" t="s">
        <v>274</v>
      </c>
      <c r="B18" s="10">
        <v>8.7200000000000006</v>
      </c>
      <c r="C18" s="10">
        <v>2.1</v>
      </c>
      <c r="D18" s="10">
        <f t="shared" si="0"/>
        <v>11.778</v>
      </c>
      <c r="E18" s="22">
        <v>12983</v>
      </c>
      <c r="F18" s="22">
        <v>12806</v>
      </c>
      <c r="G18" s="22">
        <f t="shared" si="1"/>
        <v>25789</v>
      </c>
      <c r="H18" s="80" t="s">
        <v>275</v>
      </c>
      <c r="I18" s="81"/>
      <c r="J18" s="81"/>
      <c r="K18" s="81"/>
      <c r="L18" s="81"/>
      <c r="M18" s="81"/>
      <c r="N18" s="82"/>
    </row>
    <row r="19" spans="1:24" x14ac:dyDescent="0.3">
      <c r="A19" s="11" t="s">
        <v>276</v>
      </c>
      <c r="B19" s="10">
        <v>8.7200000000000006</v>
      </c>
      <c r="C19" s="10">
        <v>1.87</v>
      </c>
      <c r="D19" s="10">
        <f t="shared" si="0"/>
        <v>11.778</v>
      </c>
      <c r="E19" s="22">
        <v>12983</v>
      </c>
      <c r="F19" s="22">
        <v>12806</v>
      </c>
      <c r="G19" s="22">
        <f t="shared" si="1"/>
        <v>25789</v>
      </c>
      <c r="H19" s="80" t="s">
        <v>277</v>
      </c>
      <c r="I19" s="81"/>
      <c r="J19" s="81"/>
      <c r="K19" s="81"/>
      <c r="L19" s="81"/>
      <c r="M19" s="81"/>
      <c r="N19" s="82"/>
    </row>
    <row r="20" spans="1:24" x14ac:dyDescent="0.3">
      <c r="A20" s="11" t="s">
        <v>278</v>
      </c>
      <c r="B20" s="10">
        <v>8.7200000000000006</v>
      </c>
      <c r="C20" s="10">
        <v>2.0299999999999998</v>
      </c>
      <c r="D20" s="10">
        <f t="shared" si="0"/>
        <v>11.778</v>
      </c>
      <c r="E20" s="22">
        <v>12983</v>
      </c>
      <c r="F20" s="22">
        <v>12806</v>
      </c>
      <c r="G20" s="22">
        <f t="shared" si="1"/>
        <v>25789</v>
      </c>
      <c r="H20" s="80" t="s">
        <v>279</v>
      </c>
      <c r="I20" s="81"/>
      <c r="J20" s="81"/>
      <c r="K20" s="81"/>
      <c r="L20" s="81"/>
      <c r="M20" s="81"/>
      <c r="N20" s="82"/>
    </row>
    <row r="21" spans="1:24" x14ac:dyDescent="0.3">
      <c r="A21" s="11" t="s">
        <v>280</v>
      </c>
      <c r="B21" s="10">
        <v>8.7200000000000006</v>
      </c>
      <c r="C21" s="10">
        <v>1.98</v>
      </c>
      <c r="D21" s="10">
        <f t="shared" si="0"/>
        <v>11.778</v>
      </c>
      <c r="E21" s="22">
        <v>12983</v>
      </c>
      <c r="F21" s="22">
        <v>12806</v>
      </c>
      <c r="G21" s="22">
        <f t="shared" si="1"/>
        <v>25789</v>
      </c>
      <c r="H21" s="80" t="s">
        <v>281</v>
      </c>
      <c r="I21" s="81"/>
      <c r="J21" s="81"/>
      <c r="K21" s="81"/>
      <c r="L21" s="81"/>
      <c r="M21" s="81"/>
      <c r="N21" s="82"/>
    </row>
    <row r="22" spans="1:24" x14ac:dyDescent="0.3">
      <c r="A22" s="11" t="s">
        <v>282</v>
      </c>
      <c r="B22" s="10">
        <v>8.7100000000000009</v>
      </c>
      <c r="C22" s="10">
        <v>1.96</v>
      </c>
      <c r="D22" s="10">
        <f t="shared" si="0"/>
        <v>11.778</v>
      </c>
      <c r="E22" s="22">
        <v>12983</v>
      </c>
      <c r="F22" s="22">
        <v>12750</v>
      </c>
      <c r="G22" s="22">
        <f t="shared" si="1"/>
        <v>25733</v>
      </c>
      <c r="H22" s="80" t="s">
        <v>283</v>
      </c>
      <c r="I22" s="81"/>
      <c r="J22" s="81"/>
      <c r="K22" s="81"/>
      <c r="L22" s="81"/>
      <c r="M22" s="81"/>
      <c r="N22" s="82"/>
    </row>
    <row r="23" spans="1:24" x14ac:dyDescent="0.3">
      <c r="A23" s="11" t="s">
        <v>284</v>
      </c>
      <c r="B23" s="10">
        <v>8.7200000000000006</v>
      </c>
      <c r="C23" s="10">
        <v>1.87</v>
      </c>
      <c r="D23" s="10">
        <f t="shared" si="0"/>
        <v>11.778</v>
      </c>
      <c r="E23" s="22">
        <v>12983</v>
      </c>
      <c r="F23" s="22">
        <v>12806</v>
      </c>
      <c r="G23" s="22">
        <f t="shared" si="1"/>
        <v>25789</v>
      </c>
      <c r="H23" s="80" t="s">
        <v>285</v>
      </c>
      <c r="I23" s="81"/>
      <c r="J23" s="81"/>
      <c r="K23" s="81"/>
      <c r="L23" s="81"/>
      <c r="M23" s="81"/>
      <c r="N23" s="82"/>
    </row>
    <row r="24" spans="1:24" x14ac:dyDescent="0.3">
      <c r="A24" s="11" t="s">
        <v>286</v>
      </c>
      <c r="B24" s="10">
        <v>8.66</v>
      </c>
      <c r="C24" s="10">
        <v>2.02</v>
      </c>
      <c r="D24" s="10">
        <f t="shared" si="0"/>
        <v>11.778</v>
      </c>
      <c r="E24" s="22">
        <v>12983</v>
      </c>
      <c r="F24" s="22">
        <v>12552</v>
      </c>
      <c r="G24" s="22">
        <f t="shared" si="1"/>
        <v>25535</v>
      </c>
      <c r="H24" s="80" t="s">
        <v>287</v>
      </c>
      <c r="I24" s="81"/>
      <c r="J24" s="81"/>
      <c r="K24" s="81"/>
      <c r="L24" s="81"/>
      <c r="M24" s="81"/>
      <c r="N24" s="82"/>
    </row>
    <row r="26" spans="1:24" x14ac:dyDescent="0.3">
      <c r="A26" s="50" t="s">
        <v>288</v>
      </c>
      <c r="B26" s="4"/>
    </row>
    <row r="27" spans="1:24" x14ac:dyDescent="0.3">
      <c r="A27" s="55" t="s">
        <v>237</v>
      </c>
      <c r="B27" s="55" t="s">
        <v>289</v>
      </c>
      <c r="C27" s="55" t="s">
        <v>290</v>
      </c>
      <c r="D27" s="55" t="s">
        <v>291</v>
      </c>
      <c r="E27" s="55" t="s">
        <v>292</v>
      </c>
      <c r="F27" s="55" t="s">
        <v>293</v>
      </c>
      <c r="G27" s="55" t="s">
        <v>294</v>
      </c>
      <c r="H27" s="55" t="s">
        <v>295</v>
      </c>
      <c r="I27" s="55" t="s">
        <v>296</v>
      </c>
      <c r="J27" s="55" t="s">
        <v>297</v>
      </c>
      <c r="K27" s="55" t="s">
        <v>298</v>
      </c>
      <c r="L27" s="55" t="s">
        <v>299</v>
      </c>
      <c r="M27" s="83" t="s">
        <v>300</v>
      </c>
    </row>
    <row r="28" spans="1:24" x14ac:dyDescent="0.3">
      <c r="A28" s="10" t="s">
        <v>242</v>
      </c>
      <c r="B28" s="22">
        <v>843</v>
      </c>
      <c r="C28" s="22">
        <v>747</v>
      </c>
      <c r="D28" s="22">
        <v>936</v>
      </c>
      <c r="E28" s="22">
        <v>0</v>
      </c>
      <c r="F28" s="22">
        <v>0</v>
      </c>
      <c r="G28" s="22">
        <v>747</v>
      </c>
      <c r="H28" s="22">
        <v>747</v>
      </c>
      <c r="I28" s="84">
        <v>747</v>
      </c>
      <c r="J28" s="84">
        <v>747</v>
      </c>
      <c r="K28" s="84">
        <v>747</v>
      </c>
      <c r="L28" s="84">
        <v>747</v>
      </c>
      <c r="M28" s="85">
        <f>VLOOKUP(A28,$A$45:$C$57,3,0)</f>
        <v>4580</v>
      </c>
      <c r="N28" s="86">
        <f>H28*9.81/(M28*1000)</f>
        <v>1.600015283842795E-3</v>
      </c>
      <c r="O28" s="87"/>
      <c r="P28" s="87"/>
      <c r="Q28" s="87"/>
      <c r="R28" s="85"/>
      <c r="S28" s="85"/>
      <c r="T28" s="85"/>
      <c r="U28" s="85"/>
      <c r="V28" s="85"/>
      <c r="W28" s="85"/>
      <c r="X28" s="85"/>
    </row>
    <row r="29" spans="1:24" x14ac:dyDescent="0.3">
      <c r="A29" s="10" t="s">
        <v>245</v>
      </c>
      <c r="B29" s="22">
        <v>741</v>
      </c>
      <c r="C29" s="22">
        <v>648</v>
      </c>
      <c r="D29" s="22">
        <v>834</v>
      </c>
      <c r="E29" s="22">
        <v>1386</v>
      </c>
      <c r="F29" s="22">
        <v>1386</v>
      </c>
      <c r="G29" s="22">
        <v>648</v>
      </c>
      <c r="H29" s="22">
        <v>648</v>
      </c>
      <c r="I29" s="84">
        <v>648</v>
      </c>
      <c r="J29" s="84">
        <v>648</v>
      </c>
      <c r="K29" s="84">
        <v>648</v>
      </c>
      <c r="L29" s="84">
        <v>648</v>
      </c>
      <c r="M29" s="85">
        <f>VLOOKUP(A29,$A$45:$C$57,3,0)</f>
        <v>4330</v>
      </c>
      <c r="N29" s="86">
        <f>H29*9.81/(M29*1000)</f>
        <v>1.4681016166281755E-3</v>
      </c>
      <c r="O29" s="88"/>
      <c r="P29" s="88"/>
      <c r="Q29" s="88"/>
      <c r="R29" s="88"/>
      <c r="S29" s="88"/>
      <c r="T29" s="88"/>
      <c r="U29" s="88"/>
      <c r="V29" s="88"/>
      <c r="W29" s="88"/>
      <c r="X29" s="88"/>
    </row>
    <row r="30" spans="1:24" x14ac:dyDescent="0.3">
      <c r="A30" s="10" t="s">
        <v>248</v>
      </c>
      <c r="B30" s="22">
        <v>905</v>
      </c>
      <c r="C30" s="22">
        <v>828</v>
      </c>
      <c r="D30" s="22">
        <v>1020</v>
      </c>
      <c r="E30" s="22">
        <v>0</v>
      </c>
      <c r="F30" s="22">
        <v>0</v>
      </c>
      <c r="G30" s="22">
        <v>828</v>
      </c>
      <c r="H30" s="22">
        <v>828</v>
      </c>
      <c r="I30" s="84">
        <v>828</v>
      </c>
      <c r="J30" s="84">
        <v>828</v>
      </c>
      <c r="K30" s="84">
        <v>828</v>
      </c>
      <c r="L30" s="84">
        <v>828</v>
      </c>
      <c r="M30" s="85">
        <f>VLOOKUP(A30,$A$45:$C$57,3,0)</f>
        <v>4880</v>
      </c>
      <c r="N30" s="86">
        <f>H30*9.81/(M30*1000)</f>
        <v>1.664483606557377E-3</v>
      </c>
    </row>
    <row r="31" spans="1:24" x14ac:dyDescent="0.3">
      <c r="A31" s="10" t="s">
        <v>250</v>
      </c>
      <c r="B31" s="22">
        <v>930</v>
      </c>
      <c r="C31" s="22">
        <v>825</v>
      </c>
      <c r="D31" s="22">
        <v>825</v>
      </c>
      <c r="E31" s="22">
        <v>825</v>
      </c>
      <c r="F31" s="22">
        <v>825</v>
      </c>
      <c r="G31" s="84">
        <v>825</v>
      </c>
      <c r="H31" s="84">
        <v>825</v>
      </c>
      <c r="I31" s="84">
        <v>825</v>
      </c>
      <c r="J31" s="84">
        <v>825</v>
      </c>
      <c r="K31" s="84">
        <v>825</v>
      </c>
      <c r="L31" s="84">
        <v>825</v>
      </c>
      <c r="M31" s="85">
        <f>VLOOKUP(A31,$A$45:$C$57,3,0)</f>
        <v>4950</v>
      </c>
      <c r="N31" s="86">
        <f>H31*9.81/(M31*1000)</f>
        <v>1.635E-3</v>
      </c>
    </row>
    <row r="32" spans="1:24" x14ac:dyDescent="0.3">
      <c r="A32" s="10" t="s">
        <v>252</v>
      </c>
      <c r="B32" s="22">
        <v>1299</v>
      </c>
      <c r="C32" s="22">
        <v>1117</v>
      </c>
      <c r="D32" s="22">
        <v>1055</v>
      </c>
      <c r="E32" s="22">
        <v>1117</v>
      </c>
      <c r="F32" s="22">
        <v>1117</v>
      </c>
      <c r="G32" s="84">
        <v>1117</v>
      </c>
      <c r="H32" s="84">
        <v>1117</v>
      </c>
      <c r="I32" s="84">
        <v>1117</v>
      </c>
      <c r="J32" s="84">
        <v>1117</v>
      </c>
      <c r="K32" s="84">
        <v>1117</v>
      </c>
      <c r="L32" s="84">
        <v>1117</v>
      </c>
      <c r="M32" s="85">
        <f>VLOOKUP(A32,$A$45:$C$57,3,0)</f>
        <v>3400</v>
      </c>
      <c r="N32" s="86">
        <f>H32*9.81/(M32*1000)</f>
        <v>3.2228735294117647E-3</v>
      </c>
      <c r="O32" s="31">
        <f>10752279/9810</f>
        <v>1096.0529051987767</v>
      </c>
    </row>
    <row r="33" spans="1:15" x14ac:dyDescent="0.3">
      <c r="A33" s="55" t="s">
        <v>255</v>
      </c>
      <c r="B33" s="55">
        <f t="shared" ref="B33:L33" si="2">SUM(B28:B32)</f>
        <v>4718</v>
      </c>
      <c r="C33" s="76">
        <f t="shared" si="2"/>
        <v>4165</v>
      </c>
      <c r="D33" s="76">
        <f t="shared" si="2"/>
        <v>4670</v>
      </c>
      <c r="E33" s="76">
        <f t="shared" si="2"/>
        <v>3328</v>
      </c>
      <c r="F33" s="76">
        <f t="shared" si="2"/>
        <v>3328</v>
      </c>
      <c r="G33" s="76">
        <f t="shared" si="2"/>
        <v>4165</v>
      </c>
      <c r="H33" s="76">
        <f t="shared" si="2"/>
        <v>4165</v>
      </c>
      <c r="I33" s="76">
        <f t="shared" si="2"/>
        <v>4165</v>
      </c>
      <c r="J33" s="76">
        <f t="shared" si="2"/>
        <v>4165</v>
      </c>
      <c r="K33" s="76">
        <f t="shared" si="2"/>
        <v>4165</v>
      </c>
      <c r="L33" s="76">
        <f t="shared" si="2"/>
        <v>4165</v>
      </c>
    </row>
    <row r="34" spans="1:15" x14ac:dyDescent="0.3">
      <c r="A34" s="89" t="s">
        <v>301</v>
      </c>
    </row>
    <row r="35" spans="1:15" x14ac:dyDescent="0.3">
      <c r="A35" s="55" t="s">
        <v>237</v>
      </c>
      <c r="B35" s="55" t="s">
        <v>289</v>
      </c>
      <c r="C35" s="55" t="s">
        <v>290</v>
      </c>
      <c r="D35" s="55" t="s">
        <v>291</v>
      </c>
      <c r="E35" s="55" t="s">
        <v>292</v>
      </c>
      <c r="F35" s="55" t="s">
        <v>293</v>
      </c>
      <c r="G35" s="55" t="s">
        <v>294</v>
      </c>
      <c r="H35" s="55" t="s">
        <v>295</v>
      </c>
      <c r="I35" s="55" t="s">
        <v>296</v>
      </c>
      <c r="J35" s="55" t="s">
        <v>297</v>
      </c>
      <c r="K35" s="55" t="s">
        <v>298</v>
      </c>
      <c r="L35" s="55" t="s">
        <v>299</v>
      </c>
      <c r="N35">
        <f>1117/2</f>
        <v>558.5</v>
      </c>
      <c r="O35">
        <f>N35*9810</f>
        <v>5478885</v>
      </c>
    </row>
    <row r="36" spans="1:15" x14ac:dyDescent="0.3">
      <c r="A36" s="10" t="s">
        <v>242</v>
      </c>
      <c r="B36" s="10">
        <v>527</v>
      </c>
      <c r="C36" s="10">
        <v>485</v>
      </c>
      <c r="D36" s="10">
        <v>493</v>
      </c>
      <c r="E36" s="32"/>
      <c r="F36" s="10"/>
      <c r="G36" s="10">
        <v>485</v>
      </c>
      <c r="H36" s="10">
        <v>485</v>
      </c>
      <c r="I36" s="10">
        <v>485</v>
      </c>
      <c r="J36" s="10">
        <v>485</v>
      </c>
      <c r="K36" s="10">
        <v>485</v>
      </c>
      <c r="L36" s="10">
        <v>485</v>
      </c>
    </row>
    <row r="37" spans="1:15" x14ac:dyDescent="0.3">
      <c r="A37" s="10" t="s">
        <v>245</v>
      </c>
      <c r="B37" s="10">
        <v>463</v>
      </c>
      <c r="C37" s="10">
        <v>420</v>
      </c>
      <c r="D37" s="10">
        <v>439</v>
      </c>
      <c r="E37" s="32">
        <v>77</v>
      </c>
      <c r="F37" s="10">
        <v>77</v>
      </c>
      <c r="G37" s="10">
        <v>420</v>
      </c>
      <c r="H37" s="10">
        <v>420</v>
      </c>
      <c r="I37" s="10">
        <v>420</v>
      </c>
      <c r="J37" s="10">
        <v>420</v>
      </c>
      <c r="K37" s="10">
        <v>420</v>
      </c>
      <c r="L37" s="10">
        <v>420</v>
      </c>
    </row>
    <row r="38" spans="1:15" x14ac:dyDescent="0.3">
      <c r="A38" s="10" t="s">
        <v>248</v>
      </c>
      <c r="B38" s="10">
        <v>565</v>
      </c>
      <c r="C38" s="10">
        <v>537</v>
      </c>
      <c r="D38" s="10">
        <v>536</v>
      </c>
      <c r="E38" s="11"/>
      <c r="F38" s="10"/>
      <c r="G38" s="10">
        <v>537</v>
      </c>
      <c r="H38" s="10">
        <v>537</v>
      </c>
      <c r="I38" s="10">
        <v>537</v>
      </c>
      <c r="J38" s="10">
        <v>537</v>
      </c>
      <c r="K38" s="10">
        <v>537</v>
      </c>
      <c r="L38" s="10">
        <v>537</v>
      </c>
    </row>
    <row r="39" spans="1:15" x14ac:dyDescent="0.3">
      <c r="A39" s="10" t="s">
        <v>250</v>
      </c>
      <c r="B39" s="10">
        <v>581</v>
      </c>
      <c r="C39" s="10">
        <v>536</v>
      </c>
      <c r="D39" s="10">
        <v>536</v>
      </c>
      <c r="E39" s="32">
        <v>536</v>
      </c>
      <c r="F39" s="10">
        <v>536</v>
      </c>
      <c r="G39" s="32">
        <v>536</v>
      </c>
      <c r="H39" s="32">
        <v>536</v>
      </c>
      <c r="I39" s="32">
        <v>536</v>
      </c>
      <c r="J39" s="32">
        <v>536</v>
      </c>
      <c r="K39" s="32">
        <v>536</v>
      </c>
      <c r="L39" s="32">
        <v>536</v>
      </c>
    </row>
    <row r="40" spans="1:15" x14ac:dyDescent="0.3">
      <c r="A40" s="10" t="s">
        <v>252</v>
      </c>
      <c r="B40" s="10">
        <v>813</v>
      </c>
      <c r="C40" s="10">
        <v>726</v>
      </c>
      <c r="D40" s="10">
        <v>686</v>
      </c>
      <c r="E40" s="32">
        <v>726</v>
      </c>
      <c r="F40" s="10">
        <v>726</v>
      </c>
      <c r="G40" s="32">
        <v>726</v>
      </c>
      <c r="H40" s="32">
        <v>726</v>
      </c>
      <c r="I40" s="32">
        <v>726</v>
      </c>
      <c r="J40" s="32">
        <v>726</v>
      </c>
      <c r="K40" s="32">
        <v>726</v>
      </c>
      <c r="L40" s="32">
        <v>726</v>
      </c>
    </row>
    <row r="41" spans="1:15" x14ac:dyDescent="0.3">
      <c r="A41" s="55" t="s">
        <v>302</v>
      </c>
      <c r="B41" s="55">
        <f t="shared" ref="B41:L41" si="3">SUM(B36:B40)</f>
        <v>2949</v>
      </c>
      <c r="C41" s="55">
        <f t="shared" si="3"/>
        <v>2704</v>
      </c>
      <c r="D41" s="55">
        <f t="shared" si="3"/>
        <v>2690</v>
      </c>
      <c r="E41" s="55">
        <f t="shared" si="3"/>
        <v>1339</v>
      </c>
      <c r="F41" s="55">
        <f t="shared" si="3"/>
        <v>1339</v>
      </c>
      <c r="G41" s="55">
        <f t="shared" si="3"/>
        <v>2704</v>
      </c>
      <c r="H41" s="55">
        <f t="shared" si="3"/>
        <v>2704</v>
      </c>
      <c r="I41" s="55">
        <f t="shared" si="3"/>
        <v>2704</v>
      </c>
      <c r="J41" s="55">
        <f t="shared" si="3"/>
        <v>2704</v>
      </c>
      <c r="K41" s="55">
        <f t="shared" si="3"/>
        <v>2704</v>
      </c>
      <c r="L41" s="55">
        <f t="shared" si="3"/>
        <v>2704</v>
      </c>
    </row>
    <row r="42" spans="1:15" x14ac:dyDescent="0.3">
      <c r="B42" s="4"/>
    </row>
    <row r="43" spans="1:15" x14ac:dyDescent="0.3">
      <c r="A43" s="90" t="s">
        <v>303</v>
      </c>
      <c r="B43" s="10" t="s">
        <v>304</v>
      </c>
      <c r="C43" s="11" t="s">
        <v>305</v>
      </c>
      <c r="D43" s="11" t="s">
        <v>306</v>
      </c>
      <c r="E43" s="11" t="s">
        <v>307</v>
      </c>
      <c r="F43" s="11"/>
      <c r="G43" s="11"/>
      <c r="H43" s="10" t="s">
        <v>1</v>
      </c>
      <c r="I43" s="11"/>
      <c r="J43" s="11"/>
      <c r="K43" s="11"/>
    </row>
    <row r="44" spans="1:15" x14ac:dyDescent="0.3">
      <c r="A44" s="90"/>
      <c r="B44" s="10" t="s">
        <v>308</v>
      </c>
      <c r="C44" s="10" t="s">
        <v>309</v>
      </c>
      <c r="D44" s="10" t="s">
        <v>5</v>
      </c>
      <c r="E44" s="10" t="s">
        <v>5</v>
      </c>
      <c r="F44" s="11"/>
      <c r="G44" s="22"/>
      <c r="H44" s="11"/>
      <c r="I44" s="11"/>
      <c r="J44" s="11"/>
      <c r="K44" s="11"/>
    </row>
    <row r="45" spans="1:15" x14ac:dyDescent="0.3">
      <c r="A45" s="10" t="s">
        <v>310</v>
      </c>
      <c r="B45" s="10">
        <f ca="1">SUM(A$16:$E45)</f>
        <v>2100</v>
      </c>
      <c r="C45" s="10">
        <v>590</v>
      </c>
      <c r="D45" s="10">
        <v>114</v>
      </c>
      <c r="E45" s="10">
        <v>0</v>
      </c>
      <c r="F45" s="91">
        <f t="shared" ref="F45:F57" si="4">D45*9.81/(C45*1000)</f>
        <v>1.8954915254237291E-3</v>
      </c>
      <c r="G45" s="92">
        <f t="shared" ref="G45:G57" si="5">E45*9.81/(C45*1000)</f>
        <v>0</v>
      </c>
      <c r="H45" s="11"/>
      <c r="I45" s="11"/>
      <c r="J45" s="11"/>
      <c r="K45" s="11"/>
    </row>
    <row r="46" spans="1:15" x14ac:dyDescent="0.3">
      <c r="A46" s="10" t="s">
        <v>311</v>
      </c>
      <c r="B46" s="10">
        <f ca="1">SUM(A$16:$E46)</f>
        <v>4920</v>
      </c>
      <c r="C46" s="10">
        <v>1660</v>
      </c>
      <c r="D46" s="10">
        <v>327</v>
      </c>
      <c r="E46" s="10">
        <v>126</v>
      </c>
      <c r="F46" s="91">
        <f t="shared" si="4"/>
        <v>1.9324518072289158E-3</v>
      </c>
      <c r="G46" s="93">
        <f t="shared" si="5"/>
        <v>7.4461445783132536E-4</v>
      </c>
      <c r="H46" s="32">
        <v>1191189.8</v>
      </c>
      <c r="I46" s="13">
        <f t="shared" ref="I46:I54" si="6">H46/9810</f>
        <v>121.4260754332314</v>
      </c>
      <c r="J46" s="11" t="b">
        <f>E46&lt;I46</f>
        <v>0</v>
      </c>
      <c r="K46" s="13">
        <f t="shared" ref="K46:K54" si="7">I46*1.1</f>
        <v>133.56868297655456</v>
      </c>
    </row>
    <row r="47" spans="1:15" x14ac:dyDescent="0.3">
      <c r="A47" s="10" t="s">
        <v>312</v>
      </c>
      <c r="B47" s="10">
        <f ca="1">SUM(A$16:$E47)</f>
        <v>7810</v>
      </c>
      <c r="C47" s="10">
        <v>2820</v>
      </c>
      <c r="D47" s="10">
        <v>556</v>
      </c>
      <c r="E47" s="10">
        <v>174</v>
      </c>
      <c r="F47" s="91">
        <f t="shared" si="4"/>
        <v>1.9341702127659577E-3</v>
      </c>
      <c r="G47" s="93">
        <f t="shared" si="5"/>
        <v>6.0529787234042556E-4</v>
      </c>
      <c r="H47" s="32">
        <v>1708765.1</v>
      </c>
      <c r="I47" s="13">
        <f t="shared" si="6"/>
        <v>174.18604485219166</v>
      </c>
      <c r="J47" s="11" t="b">
        <f>E47&lt;I47</f>
        <v>1</v>
      </c>
      <c r="K47" s="13">
        <f t="shared" si="7"/>
        <v>191.60464933741085</v>
      </c>
    </row>
    <row r="48" spans="1:15" x14ac:dyDescent="0.3">
      <c r="A48" s="10" t="s">
        <v>313</v>
      </c>
      <c r="B48" s="10">
        <f ca="1">SUM(A$16:$E48)</f>
        <v>10750</v>
      </c>
      <c r="C48" s="10">
        <v>3040</v>
      </c>
      <c r="D48" s="10">
        <v>614</v>
      </c>
      <c r="E48" s="10">
        <v>174</v>
      </c>
      <c r="F48" s="91">
        <f t="shared" si="4"/>
        <v>1.9813618421052632E-3</v>
      </c>
      <c r="G48" s="93">
        <f t="shared" si="5"/>
        <v>5.614934210526316E-4</v>
      </c>
      <c r="H48" s="32">
        <v>1728997.2</v>
      </c>
      <c r="I48" s="13">
        <f t="shared" si="6"/>
        <v>176.24844036697246</v>
      </c>
      <c r="J48" s="11" t="b">
        <f>E48&lt;I48</f>
        <v>1</v>
      </c>
      <c r="K48" s="13">
        <f t="shared" si="7"/>
        <v>193.87328440366971</v>
      </c>
    </row>
    <row r="49" spans="1:11" x14ac:dyDescent="0.3">
      <c r="A49" s="10" t="s">
        <v>314</v>
      </c>
      <c r="B49" s="10">
        <f ca="1">SUM(A$16:$E49)</f>
        <v>14400</v>
      </c>
      <c r="C49" s="10">
        <v>4430</v>
      </c>
      <c r="D49" s="10">
        <v>1890</v>
      </c>
      <c r="E49" s="10">
        <v>707</v>
      </c>
      <c r="F49" s="91">
        <f t="shared" si="4"/>
        <v>4.1853047404063213E-3</v>
      </c>
      <c r="G49" s="93">
        <f t="shared" si="5"/>
        <v>1.5656139954853274E-3</v>
      </c>
      <c r="H49" s="32">
        <v>7331222.5</v>
      </c>
      <c r="I49" s="13">
        <f t="shared" si="6"/>
        <v>747.32135575942914</v>
      </c>
      <c r="J49" s="11" t="b">
        <f>E49&lt;I49</f>
        <v>1</v>
      </c>
      <c r="K49" s="13">
        <f t="shared" si="7"/>
        <v>822.05349133537209</v>
      </c>
    </row>
    <row r="50" spans="1:11" x14ac:dyDescent="0.3">
      <c r="A50" s="10" t="s">
        <v>242</v>
      </c>
      <c r="B50" s="10">
        <f ca="1">SUM(A$16:$E50)</f>
        <v>17945</v>
      </c>
      <c r="C50" s="10">
        <v>4580</v>
      </c>
      <c r="D50" s="10">
        <v>936</v>
      </c>
      <c r="E50" s="22">
        <v>747</v>
      </c>
      <c r="F50" s="91">
        <f t="shared" si="4"/>
        <v>2.004838427947598E-3</v>
      </c>
      <c r="G50" s="93">
        <f t="shared" si="5"/>
        <v>1.600015283842795E-3</v>
      </c>
      <c r="H50" s="10"/>
      <c r="I50" s="13">
        <f t="shared" si="6"/>
        <v>0</v>
      </c>
      <c r="J50" s="11"/>
      <c r="K50" s="13">
        <f t="shared" si="7"/>
        <v>0</v>
      </c>
    </row>
    <row r="51" spans="1:11" x14ac:dyDescent="0.3">
      <c r="A51" s="10" t="s">
        <v>245</v>
      </c>
      <c r="B51" s="10">
        <f ca="1">SUM(A$16:$E51)</f>
        <v>20940</v>
      </c>
      <c r="C51" s="10">
        <v>4330</v>
      </c>
      <c r="D51" s="10">
        <v>1386</v>
      </c>
      <c r="E51" s="22">
        <v>648</v>
      </c>
      <c r="F51" s="91">
        <f t="shared" si="4"/>
        <v>3.14010623556582E-3</v>
      </c>
      <c r="G51" s="93">
        <f t="shared" si="5"/>
        <v>1.4681016166281755E-3</v>
      </c>
      <c r="H51" s="32">
        <v>7159624.5</v>
      </c>
      <c r="I51" s="13">
        <f t="shared" si="6"/>
        <v>729.82920489296635</v>
      </c>
      <c r="J51" s="11" t="b">
        <f>E51&lt;I51</f>
        <v>1</v>
      </c>
      <c r="K51" s="13">
        <f t="shared" si="7"/>
        <v>802.81212538226305</v>
      </c>
    </row>
    <row r="52" spans="1:11" x14ac:dyDescent="0.3">
      <c r="A52" s="10" t="s">
        <v>248</v>
      </c>
      <c r="B52" s="10">
        <f ca="1">SUM(A$16:$E52)</f>
        <v>23680</v>
      </c>
      <c r="C52" s="10">
        <v>4880</v>
      </c>
      <c r="D52" s="10">
        <v>1020</v>
      </c>
      <c r="E52" s="22">
        <v>828</v>
      </c>
      <c r="F52" s="91">
        <f t="shared" si="4"/>
        <v>2.0504508196721315E-3</v>
      </c>
      <c r="G52" s="93">
        <f t="shared" si="5"/>
        <v>1.664483606557377E-3</v>
      </c>
      <c r="H52" s="10"/>
      <c r="I52" s="13">
        <f t="shared" si="6"/>
        <v>0</v>
      </c>
      <c r="J52" s="11"/>
      <c r="K52" s="13">
        <f t="shared" si="7"/>
        <v>0</v>
      </c>
    </row>
    <row r="53" spans="1:11" x14ac:dyDescent="0.3">
      <c r="A53" s="10" t="s">
        <v>250</v>
      </c>
      <c r="B53" s="10">
        <f ca="1">SUM(A$16:$E53)</f>
        <v>26400</v>
      </c>
      <c r="C53" s="10">
        <v>4950</v>
      </c>
      <c r="D53" s="10">
        <v>930</v>
      </c>
      <c r="E53" s="84">
        <v>825</v>
      </c>
      <c r="F53" s="91">
        <f t="shared" si="4"/>
        <v>1.8430909090909092E-3</v>
      </c>
      <c r="G53" s="93">
        <f t="shared" si="5"/>
        <v>1.635E-3</v>
      </c>
      <c r="H53" s="32">
        <v>8448203</v>
      </c>
      <c r="I53" s="13">
        <f t="shared" si="6"/>
        <v>861.18277268093777</v>
      </c>
      <c r="J53" s="11" t="b">
        <f>E53&lt;I53</f>
        <v>1</v>
      </c>
      <c r="K53" s="13">
        <f t="shared" si="7"/>
        <v>947.30104994903161</v>
      </c>
    </row>
    <row r="54" spans="1:11" x14ac:dyDescent="0.3">
      <c r="A54" s="10" t="s">
        <v>252</v>
      </c>
      <c r="B54" s="10">
        <f ca="1">SUM(A$16:$E54)</f>
        <v>28800</v>
      </c>
      <c r="C54" s="10">
        <v>3400</v>
      </c>
      <c r="D54" s="10">
        <v>626</v>
      </c>
      <c r="E54" s="84">
        <v>540</v>
      </c>
      <c r="F54" s="91">
        <f t="shared" si="4"/>
        <v>1.8061941176470589E-3</v>
      </c>
      <c r="G54" s="93">
        <f t="shared" si="5"/>
        <v>1.558058823529412E-3</v>
      </c>
      <c r="H54" s="10">
        <v>5241771</v>
      </c>
      <c r="I54" s="13">
        <f t="shared" si="6"/>
        <v>534.32935779816512</v>
      </c>
      <c r="J54" s="11" t="b">
        <f>E54&lt;I54</f>
        <v>0</v>
      </c>
      <c r="K54" s="13">
        <f t="shared" si="7"/>
        <v>587.76229357798172</v>
      </c>
    </row>
    <row r="55" spans="1:11" x14ac:dyDescent="0.3">
      <c r="A55" s="10" t="s">
        <v>315</v>
      </c>
      <c r="B55" s="10">
        <f ca="1">SUM(A$16:$E55)</f>
        <v>31070</v>
      </c>
      <c r="C55" s="10">
        <v>3410</v>
      </c>
      <c r="D55" s="10">
        <v>673</v>
      </c>
      <c r="E55" s="10">
        <v>577</v>
      </c>
      <c r="F55" s="91">
        <f t="shared" si="4"/>
        <v>1.9361085043988269E-3</v>
      </c>
      <c r="G55" s="93">
        <f t="shared" si="5"/>
        <v>1.6599325513196482E-3</v>
      </c>
      <c r="H55" s="11"/>
      <c r="I55" s="11"/>
      <c r="J55" s="11"/>
      <c r="K55" s="11"/>
    </row>
    <row r="56" spans="1:11" x14ac:dyDescent="0.3">
      <c r="A56" s="10" t="s">
        <v>316</v>
      </c>
      <c r="B56" s="10">
        <f ca="1">SUM(A$16:$E56)</f>
        <v>33340</v>
      </c>
      <c r="C56" s="10">
        <v>0</v>
      </c>
      <c r="D56" s="10">
        <v>0</v>
      </c>
      <c r="E56" s="10">
        <v>0</v>
      </c>
      <c r="F56" s="4" t="e">
        <f t="shared" si="4"/>
        <v>#DIV/0!</v>
      </c>
      <c r="G56" s="94" t="e">
        <f t="shared" si="5"/>
        <v>#DIV/0!</v>
      </c>
      <c r="H56" s="11"/>
      <c r="I56" s="11"/>
      <c r="J56" s="11"/>
      <c r="K56" s="11"/>
    </row>
    <row r="57" spans="1:11" x14ac:dyDescent="0.3">
      <c r="A57" s="10" t="s">
        <v>317</v>
      </c>
      <c r="B57" s="10">
        <f ca="1">SUM(A$16:$E57)</f>
        <v>35940</v>
      </c>
      <c r="C57" s="10">
        <v>0</v>
      </c>
      <c r="D57" s="10">
        <v>0</v>
      </c>
      <c r="E57" s="10">
        <v>0</v>
      </c>
      <c r="F57" s="4" t="e">
        <f t="shared" si="4"/>
        <v>#DIV/0!</v>
      </c>
      <c r="G57" s="94" t="e">
        <f t="shared" si="5"/>
        <v>#DIV/0!</v>
      </c>
      <c r="H57" s="11"/>
      <c r="I57" s="11"/>
      <c r="J57" s="11"/>
      <c r="K57" s="11"/>
    </row>
    <row r="58" spans="1:11" x14ac:dyDescent="0.3">
      <c r="E58" s="35"/>
    </row>
    <row r="59" spans="1:11" x14ac:dyDescent="0.3">
      <c r="A59" s="10"/>
      <c r="B59" s="10" t="s">
        <v>300</v>
      </c>
      <c r="C59" s="10" t="s">
        <v>318</v>
      </c>
      <c r="D59" s="4" t="s">
        <v>319</v>
      </c>
      <c r="E59" s="4" t="s">
        <v>320</v>
      </c>
      <c r="F59" s="4" t="s">
        <v>321</v>
      </c>
      <c r="H59" s="4"/>
    </row>
    <row r="60" spans="1:11" x14ac:dyDescent="0.3">
      <c r="A60" s="32" t="s">
        <v>178</v>
      </c>
      <c r="B60" s="32">
        <v>94.4</v>
      </c>
      <c r="C60" s="10">
        <v>10.4</v>
      </c>
      <c r="D60" s="95">
        <f t="shared" ref="D60:D85" si="8">B60/$B$86</f>
        <v>2.3061513656129375E-2</v>
      </c>
      <c r="E60" s="33">
        <f t="shared" ref="E60:E85" si="9">D60*$D$86</f>
        <v>17.226950701128644</v>
      </c>
      <c r="F60" s="35">
        <f t="shared" ref="F60:F85" si="10">C60+E60</f>
        <v>27.626950701128642</v>
      </c>
      <c r="G60" s="35">
        <v>4</v>
      </c>
      <c r="H60" s="30">
        <f t="shared" ref="H60:H85" si="11">F60*9810/G60</f>
        <v>67755.096594517992</v>
      </c>
    </row>
    <row r="61" spans="1:11" x14ac:dyDescent="0.3">
      <c r="A61" s="32" t="s">
        <v>192</v>
      </c>
      <c r="B61" s="32">
        <v>92.3</v>
      </c>
      <c r="C61" s="10">
        <v>10.199999999999999</v>
      </c>
      <c r="D61" s="95">
        <f t="shared" si="8"/>
        <v>2.2548492695558697E-2</v>
      </c>
      <c r="E61" s="33">
        <f t="shared" si="9"/>
        <v>16.843724043582348</v>
      </c>
      <c r="F61" s="35">
        <f t="shared" si="10"/>
        <v>27.043724043582348</v>
      </c>
      <c r="G61" s="35">
        <v>4</v>
      </c>
      <c r="H61" s="30">
        <f t="shared" si="11"/>
        <v>66324.73321688571</v>
      </c>
    </row>
    <row r="62" spans="1:11" x14ac:dyDescent="0.3">
      <c r="A62" s="32" t="s">
        <v>179</v>
      </c>
      <c r="B62" s="32">
        <v>191.6</v>
      </c>
      <c r="C62" s="10">
        <v>21.1</v>
      </c>
      <c r="D62" s="95">
        <f t="shared" si="8"/>
        <v>4.6807055259686314E-2</v>
      </c>
      <c r="E62" s="33">
        <f t="shared" si="9"/>
        <v>34.964870278985678</v>
      </c>
      <c r="F62" s="35">
        <f t="shared" si="10"/>
        <v>56.06487027898568</v>
      </c>
      <c r="G62" s="35">
        <v>5</v>
      </c>
      <c r="H62" s="30">
        <f t="shared" si="11"/>
        <v>109999.2754873699</v>
      </c>
    </row>
    <row r="63" spans="1:11" x14ac:dyDescent="0.3">
      <c r="A63" s="32" t="s">
        <v>193</v>
      </c>
      <c r="B63" s="32">
        <v>129.1</v>
      </c>
      <c r="C63" s="10">
        <v>14.3</v>
      </c>
      <c r="D63" s="95">
        <f t="shared" si="8"/>
        <v>3.1538574290320996E-2</v>
      </c>
      <c r="E63" s="33">
        <f t="shared" si="9"/>
        <v>23.559314994869784</v>
      </c>
      <c r="F63" s="35">
        <f t="shared" si="10"/>
        <v>37.859314994869784</v>
      </c>
      <c r="G63" s="35">
        <v>4</v>
      </c>
      <c r="H63" s="30">
        <f t="shared" si="11"/>
        <v>92849.970024918148</v>
      </c>
    </row>
    <row r="64" spans="1:11" x14ac:dyDescent="0.3">
      <c r="A64" s="32" t="s">
        <v>180</v>
      </c>
      <c r="B64" s="32">
        <v>102.7</v>
      </c>
      <c r="C64" s="10">
        <v>11.3</v>
      </c>
      <c r="D64" s="95">
        <f t="shared" si="8"/>
        <v>2.5089167928861088E-2</v>
      </c>
      <c r="E64" s="33">
        <f t="shared" si="9"/>
        <v>18.741608442859231</v>
      </c>
      <c r="F64" s="35">
        <f t="shared" si="10"/>
        <v>30.041608442859232</v>
      </c>
      <c r="G64" s="35">
        <v>4</v>
      </c>
      <c r="H64" s="30">
        <f t="shared" si="11"/>
        <v>73677.044706112269</v>
      </c>
    </row>
    <row r="65" spans="1:8" x14ac:dyDescent="0.3">
      <c r="A65" s="32" t="s">
        <v>194</v>
      </c>
      <c r="B65" s="32">
        <v>180.3</v>
      </c>
      <c r="C65" s="10">
        <v>19.899999999999999</v>
      </c>
      <c r="D65" s="95">
        <f t="shared" si="8"/>
        <v>4.4046513900425063E-2</v>
      </c>
      <c r="E65" s="33">
        <f t="shared" si="9"/>
        <v>32.90274588361752</v>
      </c>
      <c r="F65" s="35">
        <f t="shared" si="10"/>
        <v>52.802745883617519</v>
      </c>
      <c r="G65" s="35">
        <v>4</v>
      </c>
      <c r="H65" s="30">
        <f t="shared" si="11"/>
        <v>129498.73427957196</v>
      </c>
    </row>
    <row r="66" spans="1:8" x14ac:dyDescent="0.3">
      <c r="A66" s="32" t="s">
        <v>181</v>
      </c>
      <c r="B66" s="32">
        <v>135.80000000000001</v>
      </c>
      <c r="C66" s="10">
        <v>14.9</v>
      </c>
      <c r="D66" s="95">
        <f t="shared" si="8"/>
        <v>3.3175355450236962E-2</v>
      </c>
      <c r="E66" s="33">
        <f t="shared" si="9"/>
        <v>24.78199052132701</v>
      </c>
      <c r="F66" s="35">
        <f t="shared" si="10"/>
        <v>39.681990521327009</v>
      </c>
      <c r="G66" s="35">
        <v>4</v>
      </c>
      <c r="H66" s="30">
        <f t="shared" si="11"/>
        <v>97320.081753554492</v>
      </c>
    </row>
    <row r="67" spans="1:8" x14ac:dyDescent="0.3">
      <c r="A67" s="32" t="s">
        <v>195</v>
      </c>
      <c r="B67" s="32">
        <v>178.8</v>
      </c>
      <c r="C67" s="10">
        <v>19.7</v>
      </c>
      <c r="D67" s="95">
        <f t="shared" si="8"/>
        <v>4.3680070357160296E-2</v>
      </c>
      <c r="E67" s="33">
        <f t="shared" si="9"/>
        <v>32.629012556798742</v>
      </c>
      <c r="F67" s="35">
        <f t="shared" si="10"/>
        <v>52.329012556798745</v>
      </c>
      <c r="G67" s="35">
        <v>4</v>
      </c>
      <c r="H67" s="30">
        <f t="shared" si="11"/>
        <v>128336.90329554892</v>
      </c>
    </row>
    <row r="68" spans="1:8" x14ac:dyDescent="0.3">
      <c r="A68" s="32" t="s">
        <v>182</v>
      </c>
      <c r="B68" s="32">
        <v>136.1</v>
      </c>
      <c r="C68" s="10">
        <v>15.6</v>
      </c>
      <c r="D68" s="95">
        <f t="shared" si="8"/>
        <v>3.3248644158889909E-2</v>
      </c>
      <c r="E68" s="33">
        <f t="shared" si="9"/>
        <v>24.836737186690762</v>
      </c>
      <c r="F68" s="35">
        <f t="shared" si="10"/>
        <v>40.436737186690763</v>
      </c>
      <c r="G68" s="35">
        <v>4</v>
      </c>
      <c r="H68" s="30">
        <f t="shared" si="11"/>
        <v>99171.097950359093</v>
      </c>
    </row>
    <row r="69" spans="1:8" x14ac:dyDescent="0.3">
      <c r="A69" s="32" t="s">
        <v>196</v>
      </c>
      <c r="B69" s="32">
        <v>179.7</v>
      </c>
      <c r="C69" s="10">
        <v>20.399999999999999</v>
      </c>
      <c r="D69" s="95">
        <f t="shared" si="8"/>
        <v>4.3899936483119156E-2</v>
      </c>
      <c r="E69" s="33">
        <f t="shared" si="9"/>
        <v>32.79325255289001</v>
      </c>
      <c r="F69" s="35">
        <f t="shared" si="10"/>
        <v>53.193252552890009</v>
      </c>
      <c r="G69" s="35">
        <v>4</v>
      </c>
      <c r="H69" s="30">
        <f t="shared" si="11"/>
        <v>130456.45188596274</v>
      </c>
    </row>
    <row r="70" spans="1:8" x14ac:dyDescent="0.3">
      <c r="A70" s="32" t="s">
        <v>183</v>
      </c>
      <c r="B70" s="32">
        <v>135.6</v>
      </c>
      <c r="C70" s="10">
        <v>14.9</v>
      </c>
      <c r="D70" s="95">
        <f t="shared" si="8"/>
        <v>3.3126496311134991E-2</v>
      </c>
      <c r="E70" s="33">
        <f t="shared" si="9"/>
        <v>24.745492744417838</v>
      </c>
      <c r="F70" s="35">
        <f t="shared" si="10"/>
        <v>39.645492744417837</v>
      </c>
      <c r="G70" s="35">
        <v>4</v>
      </c>
      <c r="H70" s="30">
        <f t="shared" si="11"/>
        <v>97230.570955684743</v>
      </c>
    </row>
    <row r="71" spans="1:8" x14ac:dyDescent="0.3">
      <c r="A71" s="32" t="s">
        <v>197</v>
      </c>
      <c r="B71" s="32">
        <v>178.9</v>
      </c>
      <c r="C71" s="10">
        <v>19.8</v>
      </c>
      <c r="D71" s="95">
        <f t="shared" si="8"/>
        <v>4.3704499926711285E-2</v>
      </c>
      <c r="E71" s="33">
        <f t="shared" si="9"/>
        <v>32.647261445253328</v>
      </c>
      <c r="F71" s="35">
        <f t="shared" si="10"/>
        <v>52.447261445253332</v>
      </c>
      <c r="G71" s="35">
        <v>4</v>
      </c>
      <c r="H71" s="30">
        <f t="shared" si="11"/>
        <v>128626.90869448379</v>
      </c>
    </row>
    <row r="72" spans="1:8" x14ac:dyDescent="0.3">
      <c r="A72" s="32" t="s">
        <v>184</v>
      </c>
      <c r="B72" s="32">
        <v>170.3</v>
      </c>
      <c r="C72" s="10">
        <v>18.899999999999999</v>
      </c>
      <c r="D72" s="95">
        <f t="shared" si="8"/>
        <v>4.1603556945326615E-2</v>
      </c>
      <c r="E72" s="33">
        <f t="shared" si="9"/>
        <v>31.077857038158982</v>
      </c>
      <c r="F72" s="35">
        <f t="shared" si="10"/>
        <v>49.97785703815898</v>
      </c>
      <c r="G72" s="35">
        <v>4</v>
      </c>
      <c r="H72" s="30">
        <f t="shared" si="11"/>
        <v>122570.6943860849</v>
      </c>
    </row>
    <row r="73" spans="1:8" x14ac:dyDescent="0.3">
      <c r="A73" s="32" t="s">
        <v>198</v>
      </c>
      <c r="B73" s="32">
        <v>168</v>
      </c>
      <c r="C73" s="10">
        <v>18.600000000000001</v>
      </c>
      <c r="D73" s="95">
        <f t="shared" si="8"/>
        <v>4.104167684565397E-2</v>
      </c>
      <c r="E73" s="33">
        <f t="shared" si="9"/>
        <v>30.658132603703514</v>
      </c>
      <c r="F73" s="35">
        <f t="shared" si="10"/>
        <v>49.258132603703515</v>
      </c>
      <c r="G73" s="35">
        <v>4</v>
      </c>
      <c r="H73" s="30">
        <f t="shared" si="11"/>
        <v>120805.57021058287</v>
      </c>
    </row>
    <row r="74" spans="1:8" x14ac:dyDescent="0.3">
      <c r="A74" s="32" t="s">
        <v>185</v>
      </c>
      <c r="B74" s="32">
        <v>198.8</v>
      </c>
      <c r="C74" s="10">
        <v>21.9</v>
      </c>
      <c r="D74" s="95">
        <f t="shared" si="8"/>
        <v>4.8565984267357198E-2</v>
      </c>
      <c r="E74" s="33">
        <f t="shared" si="9"/>
        <v>36.278790247715826</v>
      </c>
      <c r="F74" s="35">
        <f t="shared" si="10"/>
        <v>58.178790247715824</v>
      </c>
      <c r="G74" s="35">
        <v>4</v>
      </c>
      <c r="H74" s="30">
        <f t="shared" si="11"/>
        <v>142683.48308252305</v>
      </c>
    </row>
    <row r="75" spans="1:8" x14ac:dyDescent="0.3">
      <c r="A75" s="32" t="s">
        <v>199</v>
      </c>
      <c r="B75" s="32">
        <v>174.8</v>
      </c>
      <c r="C75" s="10">
        <v>19.2</v>
      </c>
      <c r="D75" s="95">
        <f t="shared" si="8"/>
        <v>4.2702887575120918E-2</v>
      </c>
      <c r="E75" s="33">
        <f t="shared" si="9"/>
        <v>31.899057018615327</v>
      </c>
      <c r="F75" s="35">
        <f t="shared" si="10"/>
        <v>51.099057018615326</v>
      </c>
      <c r="G75" s="35">
        <v>5</v>
      </c>
      <c r="H75" s="30">
        <f t="shared" si="11"/>
        <v>100256.34987052328</v>
      </c>
    </row>
    <row r="76" spans="1:8" x14ac:dyDescent="0.3">
      <c r="A76" s="32" t="s">
        <v>186</v>
      </c>
      <c r="B76" s="32">
        <v>201.3</v>
      </c>
      <c r="C76" s="10">
        <v>22.2</v>
      </c>
      <c r="D76" s="95">
        <f t="shared" si="8"/>
        <v>4.9176723506131816E-2</v>
      </c>
      <c r="E76" s="33">
        <f t="shared" si="9"/>
        <v>36.735012459080465</v>
      </c>
      <c r="F76" s="35">
        <f t="shared" si="10"/>
        <v>58.935012459080468</v>
      </c>
      <c r="G76" s="35">
        <v>4</v>
      </c>
      <c r="H76" s="30">
        <f t="shared" si="11"/>
        <v>144538.11805589485</v>
      </c>
    </row>
    <row r="77" spans="1:8" x14ac:dyDescent="0.3">
      <c r="A77" s="32" t="s">
        <v>187</v>
      </c>
      <c r="B77" s="32">
        <v>190.4</v>
      </c>
      <c r="C77" s="10">
        <v>21.6</v>
      </c>
      <c r="D77" s="95">
        <f t="shared" si="8"/>
        <v>4.65139004250745E-2</v>
      </c>
      <c r="E77" s="33">
        <f t="shared" si="9"/>
        <v>34.745883617530652</v>
      </c>
      <c r="F77" s="35">
        <f t="shared" si="10"/>
        <v>56.345883617530653</v>
      </c>
      <c r="G77" s="35">
        <v>4</v>
      </c>
      <c r="H77" s="30">
        <f t="shared" si="11"/>
        <v>138188.27957199392</v>
      </c>
    </row>
    <row r="78" spans="1:8" x14ac:dyDescent="0.3">
      <c r="A78" s="32" t="s">
        <v>200</v>
      </c>
      <c r="B78" s="32">
        <v>201.3</v>
      </c>
      <c r="C78" s="10">
        <v>22.7</v>
      </c>
      <c r="D78" s="95">
        <f t="shared" si="8"/>
        <v>4.9176723506131816E-2</v>
      </c>
      <c r="E78" s="33">
        <f t="shared" si="9"/>
        <v>36.735012459080465</v>
      </c>
      <c r="F78" s="35">
        <f t="shared" si="10"/>
        <v>59.435012459080468</v>
      </c>
      <c r="G78" s="35">
        <v>6</v>
      </c>
      <c r="H78" s="30">
        <f t="shared" si="11"/>
        <v>97176.245370596575</v>
      </c>
    </row>
    <row r="79" spans="1:8" x14ac:dyDescent="0.3">
      <c r="A79" s="32" t="s">
        <v>188</v>
      </c>
      <c r="B79" s="32">
        <v>201.9</v>
      </c>
      <c r="C79" s="10">
        <v>22.4</v>
      </c>
      <c r="D79" s="95">
        <f t="shared" si="8"/>
        <v>4.9323300923437716E-2</v>
      </c>
      <c r="E79" s="33">
        <f t="shared" si="9"/>
        <v>36.844505789807975</v>
      </c>
      <c r="F79" s="35">
        <f t="shared" si="10"/>
        <v>59.244505789807974</v>
      </c>
      <c r="G79" s="35">
        <v>4</v>
      </c>
      <c r="H79" s="30">
        <f t="shared" si="11"/>
        <v>145297.15044950406</v>
      </c>
    </row>
    <row r="80" spans="1:8" x14ac:dyDescent="0.3">
      <c r="A80" s="32" t="s">
        <v>189</v>
      </c>
      <c r="B80" s="32">
        <v>105.8</v>
      </c>
      <c r="C80" s="10">
        <v>11.7</v>
      </c>
      <c r="D80" s="95">
        <f t="shared" si="8"/>
        <v>2.5846484584941605E-2</v>
      </c>
      <c r="E80" s="33">
        <f t="shared" si="9"/>
        <v>19.307323984951378</v>
      </c>
      <c r="F80" s="35">
        <f t="shared" si="10"/>
        <v>31.007323984951377</v>
      </c>
      <c r="G80" s="35">
        <v>4</v>
      </c>
      <c r="H80" s="30">
        <f t="shared" si="11"/>
        <v>76045.462073093251</v>
      </c>
    </row>
    <row r="81" spans="1:10" x14ac:dyDescent="0.3">
      <c r="A81" s="32" t="s">
        <v>201</v>
      </c>
      <c r="B81" s="32">
        <v>147.80000000000001</v>
      </c>
      <c r="C81" s="10">
        <v>16.3</v>
      </c>
      <c r="D81" s="95">
        <f t="shared" si="8"/>
        <v>3.6106903796355103E-2</v>
      </c>
      <c r="E81" s="33">
        <f t="shared" si="9"/>
        <v>26.971857135877261</v>
      </c>
      <c r="F81" s="35">
        <f t="shared" si="10"/>
        <v>43.271857135877262</v>
      </c>
      <c r="G81" s="35">
        <v>5</v>
      </c>
      <c r="H81" s="30">
        <f t="shared" si="11"/>
        <v>84899.383700591192</v>
      </c>
    </row>
    <row r="82" spans="1:10" x14ac:dyDescent="0.3">
      <c r="A82" s="32" t="s">
        <v>190</v>
      </c>
      <c r="B82" s="32">
        <v>183.7</v>
      </c>
      <c r="C82" s="10">
        <v>20.3</v>
      </c>
      <c r="D82" s="95">
        <f t="shared" si="8"/>
        <v>4.4877119265158534E-2</v>
      </c>
      <c r="E82" s="33">
        <f t="shared" si="9"/>
        <v>33.523208091073428</v>
      </c>
      <c r="F82" s="35">
        <f t="shared" si="10"/>
        <v>53.823208091073425</v>
      </c>
      <c r="G82" s="35">
        <v>4</v>
      </c>
      <c r="H82" s="30">
        <f t="shared" si="11"/>
        <v>132001.41784335757</v>
      </c>
    </row>
    <row r="83" spans="1:10" x14ac:dyDescent="0.3">
      <c r="A83" s="32" t="s">
        <v>202</v>
      </c>
      <c r="B83" s="32">
        <v>123.6</v>
      </c>
      <c r="C83" s="10">
        <v>13.6</v>
      </c>
      <c r="D83" s="95">
        <f t="shared" si="8"/>
        <v>3.0194947965016847E-2</v>
      </c>
      <c r="E83" s="33">
        <f t="shared" si="9"/>
        <v>22.555626129867584</v>
      </c>
      <c r="F83" s="35">
        <f t="shared" si="10"/>
        <v>36.155626129867585</v>
      </c>
      <c r="G83" s="35">
        <v>5</v>
      </c>
      <c r="H83" s="30">
        <f t="shared" si="11"/>
        <v>70937.338466800196</v>
      </c>
    </row>
    <row r="84" spans="1:10" x14ac:dyDescent="0.3">
      <c r="A84" s="32" t="s">
        <v>191</v>
      </c>
      <c r="B84" s="32">
        <v>148.1</v>
      </c>
      <c r="C84" s="10">
        <v>16.3</v>
      </c>
      <c r="D84" s="95">
        <f t="shared" si="8"/>
        <v>3.6180192505008049E-2</v>
      </c>
      <c r="E84" s="33">
        <f t="shared" si="9"/>
        <v>27.026603801241013</v>
      </c>
      <c r="F84" s="35">
        <f t="shared" si="10"/>
        <v>43.326603801241014</v>
      </c>
      <c r="G84" s="35">
        <v>5</v>
      </c>
      <c r="H84" s="30">
        <f t="shared" si="11"/>
        <v>85006.796658034873</v>
      </c>
    </row>
    <row r="85" spans="1:10" x14ac:dyDescent="0.3">
      <c r="A85" s="32" t="s">
        <v>203</v>
      </c>
      <c r="B85" s="32">
        <v>142.30000000000001</v>
      </c>
      <c r="C85" s="10">
        <v>15.8</v>
      </c>
      <c r="D85" s="95">
        <f t="shared" si="8"/>
        <v>3.4763277471050957E-2</v>
      </c>
      <c r="E85" s="33">
        <f t="shared" si="9"/>
        <v>25.968168270875065</v>
      </c>
      <c r="F85" s="35">
        <f t="shared" si="10"/>
        <v>41.768168270875066</v>
      </c>
      <c r="G85" s="35">
        <v>4</v>
      </c>
      <c r="H85" s="30">
        <f t="shared" si="11"/>
        <v>102436.4326843211</v>
      </c>
    </row>
    <row r="86" spans="1:10" x14ac:dyDescent="0.3">
      <c r="A86" s="10"/>
      <c r="B86" s="10">
        <f>SUM(B60:B85)</f>
        <v>4093.400000000001</v>
      </c>
      <c r="C86" s="10">
        <f>SUM(C60:C85)</f>
        <v>454.00000000000006</v>
      </c>
      <c r="D86" s="4">
        <v>747</v>
      </c>
      <c r="E86" s="33">
        <f>SUM(E60:E85)</f>
        <v>746.99999999999989</v>
      </c>
      <c r="F86" s="35">
        <f>SUM(F60:F85)</f>
        <v>1200.9999999999998</v>
      </c>
      <c r="G86" s="35"/>
      <c r="H86" s="35"/>
      <c r="I86" s="4"/>
      <c r="J86" s="4"/>
    </row>
    <row r="88" spans="1:10" x14ac:dyDescent="0.3">
      <c r="A88" s="10"/>
      <c r="B88" s="10" t="s">
        <v>300</v>
      </c>
      <c r="C88" s="10" t="s">
        <v>318</v>
      </c>
      <c r="D88" s="4" t="s">
        <v>319</v>
      </c>
      <c r="E88" s="40" t="s">
        <v>320</v>
      </c>
      <c r="F88" s="4" t="s">
        <v>321</v>
      </c>
    </row>
    <row r="89" spans="1:10" x14ac:dyDescent="0.3">
      <c r="A89" s="10" t="s">
        <v>209</v>
      </c>
      <c r="B89" s="10">
        <v>128.6</v>
      </c>
      <c r="C89" s="32">
        <v>14.2</v>
      </c>
      <c r="D89" s="95">
        <f t="shared" ref="D89:D112" si="12">B89/$B$113</f>
        <v>3.3915290890869774E-2</v>
      </c>
      <c r="E89" s="33">
        <f t="shared" ref="E89:E112" si="13">$D$113*D89</f>
        <v>28.081860857640173</v>
      </c>
      <c r="F89" s="35">
        <f t="shared" ref="F89:F113" si="14">C89+E89</f>
        <v>42.281860857640169</v>
      </c>
      <c r="G89" s="7">
        <v>4</v>
      </c>
      <c r="H89" s="7">
        <f t="shared" ref="H89:H112" si="15">F89*9810/G89</f>
        <v>103696.26375336251</v>
      </c>
    </row>
    <row r="90" spans="1:10" x14ac:dyDescent="0.3">
      <c r="A90" s="10" t="s">
        <v>221</v>
      </c>
      <c r="B90" s="10">
        <v>120.3</v>
      </c>
      <c r="C90" s="32">
        <v>13.3</v>
      </c>
      <c r="D90" s="95">
        <f t="shared" si="12"/>
        <v>3.1726356875362627E-2</v>
      </c>
      <c r="E90" s="33">
        <f t="shared" si="13"/>
        <v>26.269423492800254</v>
      </c>
      <c r="F90" s="35">
        <f t="shared" si="14"/>
        <v>39.569423492800254</v>
      </c>
      <c r="G90" s="7">
        <v>4</v>
      </c>
      <c r="H90" s="7">
        <f t="shared" si="15"/>
        <v>97044.011116092617</v>
      </c>
    </row>
    <row r="91" spans="1:10" x14ac:dyDescent="0.3">
      <c r="A91" s="10" t="s">
        <v>210</v>
      </c>
      <c r="B91" s="10">
        <v>98</v>
      </c>
      <c r="C91" s="32">
        <v>10.8</v>
      </c>
      <c r="D91" s="95">
        <f t="shared" si="12"/>
        <v>2.5845245002373545E-2</v>
      </c>
      <c r="E91" s="33">
        <f t="shared" si="13"/>
        <v>21.399862861965296</v>
      </c>
      <c r="F91" s="35">
        <f t="shared" si="14"/>
        <v>32.1998628619653</v>
      </c>
      <c r="G91" s="4">
        <v>4</v>
      </c>
      <c r="H91" s="7">
        <f t="shared" si="15"/>
        <v>78970.163668969893</v>
      </c>
    </row>
    <row r="92" spans="1:10" x14ac:dyDescent="0.3">
      <c r="A92" s="10" t="s">
        <v>222</v>
      </c>
      <c r="B92" s="10">
        <v>87.3</v>
      </c>
      <c r="C92" s="32">
        <v>9.6</v>
      </c>
      <c r="D92" s="95">
        <f t="shared" si="12"/>
        <v>2.3023366211298066E-2</v>
      </c>
      <c r="E92" s="33">
        <f t="shared" si="13"/>
        <v>19.0633472229548</v>
      </c>
      <c r="F92" s="35">
        <f t="shared" si="14"/>
        <v>28.663347222954798</v>
      </c>
      <c r="G92" s="4">
        <v>4</v>
      </c>
      <c r="H92" s="7">
        <f t="shared" si="15"/>
        <v>70296.859064296645</v>
      </c>
    </row>
    <row r="93" spans="1:10" x14ac:dyDescent="0.3">
      <c r="A93" s="10" t="s">
        <v>211</v>
      </c>
      <c r="B93" s="10">
        <v>200.5</v>
      </c>
      <c r="C93" s="32">
        <v>22.4</v>
      </c>
      <c r="D93" s="95">
        <f t="shared" si="12"/>
        <v>5.2877261458937709E-2</v>
      </c>
      <c r="E93" s="33">
        <f t="shared" si="13"/>
        <v>43.782372488000426</v>
      </c>
      <c r="F93" s="35">
        <f t="shared" si="14"/>
        <v>66.182372488000425</v>
      </c>
      <c r="G93" s="4">
        <v>4</v>
      </c>
      <c r="H93" s="7">
        <f t="shared" si="15"/>
        <v>162312.26852682105</v>
      </c>
    </row>
    <row r="94" spans="1:10" x14ac:dyDescent="0.3">
      <c r="A94" s="10" t="s">
        <v>223</v>
      </c>
      <c r="B94" s="10">
        <v>152.19999999999999</v>
      </c>
      <c r="C94" s="32">
        <v>16.7</v>
      </c>
      <c r="D94" s="95">
        <f t="shared" si="12"/>
        <v>4.0139247850625032E-2</v>
      </c>
      <c r="E94" s="33">
        <f t="shared" si="13"/>
        <v>33.235297220317527</v>
      </c>
      <c r="F94" s="35">
        <f t="shared" si="14"/>
        <v>49.935297220317523</v>
      </c>
      <c r="G94" s="4">
        <v>4</v>
      </c>
      <c r="H94" s="7">
        <f t="shared" si="15"/>
        <v>122466.31643282872</v>
      </c>
    </row>
    <row r="95" spans="1:10" x14ac:dyDescent="0.3">
      <c r="A95" s="10" t="s">
        <v>212</v>
      </c>
      <c r="B95" s="10">
        <v>201.5</v>
      </c>
      <c r="C95" s="32">
        <v>22.3</v>
      </c>
      <c r="D95" s="95">
        <f t="shared" si="12"/>
        <v>5.314098844875785E-2</v>
      </c>
      <c r="E95" s="33">
        <f t="shared" si="13"/>
        <v>44.000738435571499</v>
      </c>
      <c r="F95" s="35">
        <f t="shared" si="14"/>
        <v>66.300738435571503</v>
      </c>
      <c r="G95" s="4">
        <v>4</v>
      </c>
      <c r="H95" s="7">
        <f t="shared" si="15"/>
        <v>162602.56101323912</v>
      </c>
    </row>
    <row r="96" spans="1:10" x14ac:dyDescent="0.3">
      <c r="A96" s="10" t="s">
        <v>224</v>
      </c>
      <c r="B96" s="10">
        <v>112.8</v>
      </c>
      <c r="C96" s="32">
        <v>12.4</v>
      </c>
      <c r="D96" s="95">
        <f t="shared" si="12"/>
        <v>2.9748404451711591E-2</v>
      </c>
      <c r="E96" s="33">
        <f t="shared" si="13"/>
        <v>24.631678886017198</v>
      </c>
      <c r="F96" s="35">
        <f t="shared" si="14"/>
        <v>37.031678886017197</v>
      </c>
      <c r="G96" s="4">
        <v>4</v>
      </c>
      <c r="H96" s="7">
        <f t="shared" si="15"/>
        <v>90820.192467957182</v>
      </c>
    </row>
    <row r="97" spans="1:8" x14ac:dyDescent="0.3">
      <c r="A97" s="10" t="s">
        <v>213</v>
      </c>
      <c r="B97" s="10">
        <v>202.1</v>
      </c>
      <c r="C97" s="32">
        <v>23</v>
      </c>
      <c r="D97" s="95">
        <f t="shared" si="12"/>
        <v>5.3299224642649932E-2</v>
      </c>
      <c r="E97" s="33">
        <f t="shared" si="13"/>
        <v>44.131758004114147</v>
      </c>
      <c r="F97" s="35">
        <f t="shared" si="14"/>
        <v>67.131758004114147</v>
      </c>
      <c r="G97" s="4">
        <v>4</v>
      </c>
      <c r="H97" s="7">
        <f t="shared" si="15"/>
        <v>164640.63650508993</v>
      </c>
    </row>
    <row r="98" spans="1:8" x14ac:dyDescent="0.3">
      <c r="A98" s="10" t="s">
        <v>225</v>
      </c>
      <c r="B98" s="10">
        <v>112.4</v>
      </c>
      <c r="C98" s="32">
        <v>13.2</v>
      </c>
      <c r="D98" s="95">
        <f t="shared" si="12"/>
        <v>2.9642913655783535E-2</v>
      </c>
      <c r="E98" s="33">
        <f t="shared" si="13"/>
        <v>24.544332506988766</v>
      </c>
      <c r="F98" s="35">
        <f t="shared" si="14"/>
        <v>37.744332506988769</v>
      </c>
      <c r="G98" s="4">
        <v>4</v>
      </c>
      <c r="H98" s="7">
        <f t="shared" si="15"/>
        <v>92567.975473389961</v>
      </c>
    </row>
    <row r="99" spans="1:8" x14ac:dyDescent="0.3">
      <c r="A99" s="10" t="s">
        <v>214</v>
      </c>
      <c r="B99" s="10">
        <v>200.7</v>
      </c>
      <c r="C99" s="32">
        <v>22.2</v>
      </c>
      <c r="D99" s="95">
        <f t="shared" si="12"/>
        <v>5.2930006856901739E-2</v>
      </c>
      <c r="E99" s="33">
        <f t="shared" si="13"/>
        <v>43.826045677514642</v>
      </c>
      <c r="F99" s="35">
        <f t="shared" si="14"/>
        <v>66.026045677514645</v>
      </c>
      <c r="G99" s="4">
        <v>4</v>
      </c>
      <c r="H99" s="7">
        <f t="shared" si="15"/>
        <v>161928.87702410467</v>
      </c>
    </row>
    <row r="100" spans="1:8" x14ac:dyDescent="0.3">
      <c r="A100" s="10" t="s">
        <v>226</v>
      </c>
      <c r="B100" s="10">
        <v>111</v>
      </c>
      <c r="C100" s="32">
        <v>12.2</v>
      </c>
      <c r="D100" s="95">
        <f t="shared" si="12"/>
        <v>2.9273695870035341E-2</v>
      </c>
      <c r="E100" s="33">
        <f t="shared" si="13"/>
        <v>24.238620180389262</v>
      </c>
      <c r="F100" s="35">
        <f t="shared" si="14"/>
        <v>36.438620180389265</v>
      </c>
      <c r="G100" s="4">
        <v>4</v>
      </c>
      <c r="H100" s="7">
        <f t="shared" si="15"/>
        <v>89365.715992404672</v>
      </c>
    </row>
    <row r="101" spans="1:8" x14ac:dyDescent="0.3">
      <c r="A101" s="10" t="s">
        <v>215</v>
      </c>
      <c r="B101" s="10">
        <v>188.9</v>
      </c>
      <c r="C101" s="32">
        <v>21.1</v>
      </c>
      <c r="D101" s="95">
        <f t="shared" si="12"/>
        <v>4.9818028377024107E-2</v>
      </c>
      <c r="E101" s="33">
        <f t="shared" si="13"/>
        <v>41.249327496175958</v>
      </c>
      <c r="F101" s="35">
        <f t="shared" si="14"/>
        <v>62.34932749617596</v>
      </c>
      <c r="G101" s="4">
        <v>4</v>
      </c>
      <c r="H101" s="7">
        <f t="shared" si="15"/>
        <v>152911.72568437154</v>
      </c>
    </row>
    <row r="102" spans="1:8" x14ac:dyDescent="0.3">
      <c r="A102" s="10" t="s">
        <v>227</v>
      </c>
      <c r="B102" s="10">
        <v>151.5</v>
      </c>
      <c r="C102" s="32">
        <v>16.8</v>
      </c>
      <c r="D102" s="95">
        <f t="shared" si="12"/>
        <v>3.9954638957750942E-2</v>
      </c>
      <c r="E102" s="33">
        <f t="shared" si="13"/>
        <v>33.082441057017782</v>
      </c>
      <c r="F102" s="35">
        <f t="shared" si="14"/>
        <v>49.882441057017786</v>
      </c>
      <c r="G102" s="4">
        <v>4</v>
      </c>
      <c r="H102" s="7">
        <f t="shared" si="15"/>
        <v>122336.68669233612</v>
      </c>
    </row>
    <row r="103" spans="1:8" x14ac:dyDescent="0.3">
      <c r="A103" s="10" t="s">
        <v>216</v>
      </c>
      <c r="B103" s="10">
        <v>150.9</v>
      </c>
      <c r="C103" s="32">
        <v>16.8</v>
      </c>
      <c r="D103" s="95">
        <f t="shared" si="12"/>
        <v>3.979640276385886E-2</v>
      </c>
      <c r="E103" s="33">
        <f t="shared" si="13"/>
        <v>32.951421488475134</v>
      </c>
      <c r="F103" s="35">
        <f t="shared" si="14"/>
        <v>49.751421488475131</v>
      </c>
      <c r="G103" s="4">
        <v>4</v>
      </c>
      <c r="H103" s="7">
        <f t="shared" si="15"/>
        <v>122015.36120048526</v>
      </c>
    </row>
    <row r="104" spans="1:8" x14ac:dyDescent="0.3">
      <c r="A104" s="10" t="s">
        <v>228</v>
      </c>
      <c r="B104" s="10">
        <v>176.9</v>
      </c>
      <c r="C104" s="10">
        <v>19.899999999999999</v>
      </c>
      <c r="D104" s="95">
        <f t="shared" si="12"/>
        <v>4.6653304499182452E-2</v>
      </c>
      <c r="E104" s="33">
        <f t="shared" si="13"/>
        <v>38.628936125323072</v>
      </c>
      <c r="F104" s="35">
        <f t="shared" si="14"/>
        <v>58.528936125323071</v>
      </c>
      <c r="G104" s="4">
        <v>4</v>
      </c>
      <c r="H104" s="7">
        <f t="shared" si="15"/>
        <v>143542.21584735482</v>
      </c>
    </row>
    <row r="105" spans="1:8" x14ac:dyDescent="0.3">
      <c r="A105" s="10" t="s">
        <v>217</v>
      </c>
      <c r="B105" s="10">
        <v>133.4</v>
      </c>
      <c r="C105" s="10">
        <v>14.7</v>
      </c>
      <c r="D105" s="95">
        <f t="shared" si="12"/>
        <v>3.5181180442006438E-2</v>
      </c>
      <c r="E105" s="33">
        <f t="shared" si="13"/>
        <v>29.130017405981331</v>
      </c>
      <c r="F105" s="35">
        <f t="shared" si="14"/>
        <v>43.83001740598133</v>
      </c>
      <c r="G105" s="4">
        <v>4</v>
      </c>
      <c r="H105" s="7">
        <f t="shared" si="15"/>
        <v>107493.11768816921</v>
      </c>
    </row>
    <row r="106" spans="1:8" x14ac:dyDescent="0.3">
      <c r="A106" s="10" t="s">
        <v>229</v>
      </c>
      <c r="B106" s="10">
        <v>182</v>
      </c>
      <c r="C106" s="10">
        <v>20.2</v>
      </c>
      <c r="D106" s="95">
        <f t="shared" si="12"/>
        <v>4.7998312147265153E-2</v>
      </c>
      <c r="E106" s="33">
        <f t="shared" si="13"/>
        <v>39.742602457935547</v>
      </c>
      <c r="F106" s="35">
        <f t="shared" si="14"/>
        <v>59.94260245793555</v>
      </c>
      <c r="G106" s="4">
        <v>4</v>
      </c>
      <c r="H106" s="7">
        <f t="shared" si="15"/>
        <v>147009.23252808693</v>
      </c>
    </row>
    <row r="107" spans="1:8" x14ac:dyDescent="0.3">
      <c r="A107" s="10" t="s">
        <v>218</v>
      </c>
      <c r="B107" s="10">
        <v>156.69999999999999</v>
      </c>
      <c r="C107" s="10">
        <v>17.8</v>
      </c>
      <c r="D107" s="95">
        <f t="shared" si="12"/>
        <v>4.1326019304815657E-2</v>
      </c>
      <c r="E107" s="33">
        <f t="shared" si="13"/>
        <v>34.217943984387361</v>
      </c>
      <c r="F107" s="35">
        <f t="shared" si="14"/>
        <v>52.017943984387358</v>
      </c>
      <c r="G107" s="4">
        <v>4</v>
      </c>
      <c r="H107" s="7">
        <f t="shared" si="15"/>
        <v>127574.00762171</v>
      </c>
    </row>
    <row r="108" spans="1:8" x14ac:dyDescent="0.3">
      <c r="A108" s="10" t="s">
        <v>230</v>
      </c>
      <c r="B108" s="10">
        <v>179.7</v>
      </c>
      <c r="C108" s="10">
        <v>20.399999999999999</v>
      </c>
      <c r="D108" s="95">
        <f t="shared" si="12"/>
        <v>4.7391740070678832E-2</v>
      </c>
      <c r="E108" s="33">
        <f t="shared" si="13"/>
        <v>39.240360778522074</v>
      </c>
      <c r="F108" s="35">
        <f t="shared" si="14"/>
        <v>59.640360778522073</v>
      </c>
      <c r="G108" s="4">
        <v>4</v>
      </c>
      <c r="H108" s="7">
        <f t="shared" si="15"/>
        <v>146267.9848093254</v>
      </c>
    </row>
    <row r="109" spans="1:8" x14ac:dyDescent="0.3">
      <c r="A109" s="10" t="s">
        <v>219</v>
      </c>
      <c r="B109" s="10">
        <v>162.19999999999999</v>
      </c>
      <c r="C109" s="10">
        <v>17.8</v>
      </c>
      <c r="D109" s="95">
        <f t="shared" si="12"/>
        <v>4.2776517748826418E-2</v>
      </c>
      <c r="E109" s="33">
        <f t="shared" si="13"/>
        <v>35.418956696028275</v>
      </c>
      <c r="F109" s="35">
        <f t="shared" si="14"/>
        <v>53.218956696028272</v>
      </c>
      <c r="G109" s="4">
        <v>5</v>
      </c>
      <c r="H109" s="7">
        <f t="shared" si="15"/>
        <v>104415.59303760747</v>
      </c>
    </row>
    <row r="110" spans="1:8" x14ac:dyDescent="0.3">
      <c r="A110" s="10" t="s">
        <v>231</v>
      </c>
      <c r="B110" s="10">
        <v>202.7</v>
      </c>
      <c r="C110" s="10">
        <v>22.9</v>
      </c>
      <c r="D110" s="95">
        <f t="shared" si="12"/>
        <v>5.3457460836542015E-2</v>
      </c>
      <c r="E110" s="33">
        <f t="shared" si="13"/>
        <v>44.262777572656788</v>
      </c>
      <c r="F110" s="35">
        <f t="shared" si="14"/>
        <v>67.162777572656779</v>
      </c>
      <c r="G110" s="4">
        <v>4</v>
      </c>
      <c r="H110" s="7">
        <f t="shared" si="15"/>
        <v>164716.71199694075</v>
      </c>
    </row>
    <row r="111" spans="1:8" x14ac:dyDescent="0.3">
      <c r="A111" s="10" t="s">
        <v>220</v>
      </c>
      <c r="B111" s="10">
        <v>193.8</v>
      </c>
      <c r="C111" s="10">
        <v>21.6</v>
      </c>
      <c r="D111" s="95">
        <f t="shared" si="12"/>
        <v>5.1110290627142792E-2</v>
      </c>
      <c r="E111" s="33">
        <f t="shared" si="13"/>
        <v>42.319320639274231</v>
      </c>
      <c r="F111" s="35">
        <f t="shared" si="14"/>
        <v>63.919320639274233</v>
      </c>
      <c r="G111" s="4">
        <v>5</v>
      </c>
      <c r="H111" s="7">
        <f t="shared" si="15"/>
        <v>125409.70709425604</v>
      </c>
    </row>
    <row r="112" spans="1:8" x14ac:dyDescent="0.3">
      <c r="A112" s="10" t="s">
        <v>232</v>
      </c>
      <c r="B112" s="10">
        <v>185.7</v>
      </c>
      <c r="C112" s="10">
        <v>20.5</v>
      </c>
      <c r="D112" s="95">
        <f t="shared" si="12"/>
        <v>4.897410200959966E-2</v>
      </c>
      <c r="E112" s="33">
        <f t="shared" si="13"/>
        <v>40.550556463948517</v>
      </c>
      <c r="F112" s="35">
        <f t="shared" si="14"/>
        <v>61.050556463948517</v>
      </c>
      <c r="G112" s="4">
        <v>5</v>
      </c>
      <c r="H112" s="7">
        <f t="shared" si="15"/>
        <v>119781.19178226699</v>
      </c>
    </row>
    <row r="113" spans="1:8" x14ac:dyDescent="0.3">
      <c r="A113" s="10"/>
      <c r="B113" s="10">
        <f>SUM(B89:B112)</f>
        <v>3791.7999999999997</v>
      </c>
      <c r="C113" s="10">
        <f>SUM(C89:C112)</f>
        <v>422.79999999999995</v>
      </c>
      <c r="D113" s="4">
        <v>828</v>
      </c>
      <c r="E113" s="96">
        <f>SUM(E89:E112)</f>
        <v>828.00000000000011</v>
      </c>
      <c r="F113" s="35">
        <f t="shared" si="14"/>
        <v>1250.8000000000002</v>
      </c>
      <c r="H113" s="7"/>
    </row>
    <row r="114" spans="1:8" x14ac:dyDescent="0.3">
      <c r="A114" s="4"/>
      <c r="B114" s="4"/>
      <c r="F114" s="35"/>
    </row>
  </sheetData>
  <mergeCells count="1">
    <mergeCell ref="H13:N13"/>
  </mergeCells>
  <phoneticPr fontId="12" type="noConversion"/>
  <pageMargins left="0.70833333333333304" right="0.70833333333333304" top="0.74791666666666701" bottom="0.74791666666666701" header="0.51180555555555496" footer="0.51180555555555496"/>
  <pageSetup paperSize="9" scale="140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Normal="100" workbookViewId="0"/>
  </sheetViews>
  <sheetFormatPr defaultRowHeight="16.5" x14ac:dyDescent="0.3"/>
  <cols>
    <col min="1" max="1" width="13.5" customWidth="1"/>
    <col min="2" max="1025" width="8.625" customWidth="1"/>
  </cols>
  <sheetData/>
  <phoneticPr fontId="1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P67"/>
  <sheetViews>
    <sheetView topLeftCell="A37" zoomScaleNormal="100" workbookViewId="0">
      <selection activeCell="G31" sqref="G31"/>
    </sheetView>
  </sheetViews>
  <sheetFormatPr defaultRowHeight="16.5" x14ac:dyDescent="0.3"/>
  <cols>
    <col min="1" max="1" width="11.625" customWidth="1"/>
    <col min="2" max="2" width="12.625" customWidth="1"/>
    <col min="3" max="6" width="12.625" style="4" customWidth="1"/>
    <col min="7" max="7" width="12.375" style="4" customWidth="1"/>
    <col min="8" max="9" width="11.625" customWidth="1"/>
    <col min="10" max="14" width="10.75" customWidth="1"/>
    <col min="15" max="1025" width="8.625" customWidth="1"/>
  </cols>
  <sheetData>
    <row r="2" spans="1:16" x14ac:dyDescent="0.3">
      <c r="A2" s="50" t="s">
        <v>235</v>
      </c>
      <c r="B2" s="4"/>
      <c r="E2" s="51" t="s">
        <v>322</v>
      </c>
      <c r="H2" s="4"/>
      <c r="I2" t="s">
        <v>323</v>
      </c>
    </row>
    <row r="3" spans="1:16" x14ac:dyDescent="0.3">
      <c r="A3" s="55" t="s">
        <v>237</v>
      </c>
      <c r="B3" s="55" t="s">
        <v>238</v>
      </c>
      <c r="C3" s="55" t="s">
        <v>239</v>
      </c>
      <c r="E3" s="97" t="s">
        <v>243</v>
      </c>
      <c r="F3" s="97" t="s">
        <v>246</v>
      </c>
      <c r="G3" s="55" t="s">
        <v>249</v>
      </c>
      <c r="H3" s="55" t="s">
        <v>324</v>
      </c>
      <c r="I3" s="55" t="s">
        <v>244</v>
      </c>
      <c r="J3" s="55" t="s">
        <v>247</v>
      </c>
      <c r="K3" s="55" t="s">
        <v>255</v>
      </c>
    </row>
    <row r="4" spans="1:16" x14ac:dyDescent="0.3">
      <c r="A4" s="32" t="s">
        <v>317</v>
      </c>
      <c r="B4" s="56">
        <v>35.94</v>
      </c>
      <c r="C4" s="84">
        <v>0</v>
      </c>
      <c r="E4" s="84"/>
      <c r="F4" s="10">
        <v>436.6</v>
      </c>
      <c r="G4" s="10"/>
      <c r="H4" s="11"/>
      <c r="I4" s="11"/>
      <c r="J4" s="11"/>
      <c r="K4" s="11"/>
    </row>
    <row r="5" spans="1:16" x14ac:dyDescent="0.3">
      <c r="A5" s="32" t="s">
        <v>316</v>
      </c>
      <c r="B5" s="56">
        <v>33.340000000000003</v>
      </c>
      <c r="C5" s="84">
        <v>0</v>
      </c>
      <c r="E5" s="84"/>
      <c r="F5" s="10"/>
      <c r="G5" s="10"/>
      <c r="H5" s="11"/>
      <c r="I5" s="11"/>
      <c r="J5" s="11"/>
      <c r="K5" s="11"/>
    </row>
    <row r="6" spans="1:16" x14ac:dyDescent="0.3">
      <c r="A6" s="10" t="s">
        <v>315</v>
      </c>
      <c r="B6" s="56">
        <v>31.07</v>
      </c>
      <c r="C6" s="22">
        <f t="shared" ref="C6:C11" si="0">K6</f>
        <v>1156.44</v>
      </c>
      <c r="E6" s="84">
        <v>267.8</v>
      </c>
      <c r="F6" s="10"/>
      <c r="G6" s="10">
        <v>52.04</v>
      </c>
      <c r="H6" s="11"/>
      <c r="I6" s="10">
        <v>200</v>
      </c>
      <c r="J6" s="10">
        <v>200</v>
      </c>
      <c r="K6" s="98">
        <f>SUM(E4:J6)</f>
        <v>1156.44</v>
      </c>
    </row>
    <row r="7" spans="1:16" x14ac:dyDescent="0.3">
      <c r="A7" s="10" t="s">
        <v>252</v>
      </c>
      <c r="B7" s="56">
        <v>28.8</v>
      </c>
      <c r="C7" s="22">
        <f>K7</f>
        <v>730.5</v>
      </c>
      <c r="E7" s="22"/>
      <c r="F7" s="10"/>
      <c r="G7" s="10"/>
      <c r="H7" s="10">
        <f>730.5</f>
        <v>730.5</v>
      </c>
      <c r="I7" s="11"/>
      <c r="J7" s="11"/>
      <c r="K7" s="98">
        <f>SUM(E7:J7)</f>
        <v>730.5</v>
      </c>
    </row>
    <row r="8" spans="1:16" x14ac:dyDescent="0.3">
      <c r="A8" s="10" t="s">
        <v>250</v>
      </c>
      <c r="B8" s="56">
        <v>26.4</v>
      </c>
      <c r="C8" s="22">
        <f>K8</f>
        <v>467.5</v>
      </c>
      <c r="E8" s="22"/>
      <c r="F8" s="10"/>
      <c r="G8" s="10"/>
      <c r="H8" s="10">
        <f>467.5</f>
        <v>467.5</v>
      </c>
      <c r="I8" s="11"/>
      <c r="J8" s="11"/>
      <c r="K8" s="98">
        <f>SUM(E8:J8)</f>
        <v>467.5</v>
      </c>
    </row>
    <row r="9" spans="1:16" x14ac:dyDescent="0.3">
      <c r="A9" s="10" t="s">
        <v>248</v>
      </c>
      <c r="B9" s="56">
        <v>23.68</v>
      </c>
      <c r="C9" s="22">
        <f t="shared" si="0"/>
        <v>519.4</v>
      </c>
      <c r="E9" s="22"/>
      <c r="F9" s="10"/>
      <c r="G9" s="10">
        <v>422.7</v>
      </c>
      <c r="H9" s="10">
        <f>96.7</f>
        <v>96.7</v>
      </c>
      <c r="I9" s="11"/>
      <c r="J9" s="11"/>
      <c r="K9" s="98">
        <f>SUM(E9:J9)</f>
        <v>519.4</v>
      </c>
      <c r="P9">
        <f>15-8</f>
        <v>7</v>
      </c>
    </row>
    <row r="10" spans="1:16" x14ac:dyDescent="0.3">
      <c r="A10" s="10" t="s">
        <v>245</v>
      </c>
      <c r="B10" s="56">
        <v>20.94</v>
      </c>
      <c r="C10" s="22">
        <f t="shared" si="0"/>
        <v>572.20000000000005</v>
      </c>
      <c r="E10" s="22"/>
      <c r="F10" s="10"/>
      <c r="G10" s="10"/>
      <c r="H10" s="10">
        <f>572.2</f>
        <v>572.20000000000005</v>
      </c>
      <c r="I10" s="11"/>
      <c r="J10" s="11"/>
      <c r="K10" s="98">
        <f>SUM(E10:J10)</f>
        <v>572.20000000000005</v>
      </c>
    </row>
    <row r="11" spans="1:16" x14ac:dyDescent="0.3">
      <c r="A11" s="10" t="s">
        <v>242</v>
      </c>
      <c r="B11" s="56">
        <v>17.945</v>
      </c>
      <c r="C11" s="99">
        <f t="shared" si="0"/>
        <v>541.30000000000007</v>
      </c>
      <c r="E11" s="22"/>
      <c r="F11" s="10"/>
      <c r="G11" s="10">
        <v>454.1</v>
      </c>
      <c r="H11" s="10">
        <f>87.2</f>
        <v>87.2</v>
      </c>
      <c r="I11" s="11"/>
      <c r="J11" s="11"/>
      <c r="K11" s="98">
        <f>SUM(E11:J11)</f>
        <v>541.30000000000007</v>
      </c>
    </row>
    <row r="12" spans="1:16" x14ac:dyDescent="0.3">
      <c r="A12" s="10" t="s">
        <v>314</v>
      </c>
      <c r="B12" s="56">
        <f>14400/1000</f>
        <v>14.4</v>
      </c>
      <c r="C12" s="10">
        <v>0</v>
      </c>
      <c r="E12" s="22"/>
      <c r="F12" s="10"/>
      <c r="G12" s="10"/>
      <c r="H12" s="11"/>
      <c r="I12" s="11"/>
      <c r="J12" s="11"/>
      <c r="K12" s="11"/>
    </row>
    <row r="13" spans="1:16" x14ac:dyDescent="0.3">
      <c r="A13" s="10" t="s">
        <v>313</v>
      </c>
      <c r="B13" s="56">
        <f>10750/1000</f>
        <v>10.75</v>
      </c>
      <c r="C13" s="10">
        <v>0</v>
      </c>
      <c r="D13" s="143"/>
      <c r="E13" s="22"/>
      <c r="F13" s="10"/>
      <c r="G13" s="10"/>
      <c r="H13" s="11"/>
      <c r="I13" s="11"/>
      <c r="J13" s="11"/>
      <c r="K13" s="11"/>
    </row>
    <row r="14" spans="1:16" x14ac:dyDescent="0.3">
      <c r="A14" s="10" t="s">
        <v>312</v>
      </c>
      <c r="B14" s="56">
        <f>7810/1000</f>
        <v>7.81</v>
      </c>
      <c r="C14" s="10">
        <v>0</v>
      </c>
      <c r="E14" s="22"/>
      <c r="F14" s="10"/>
      <c r="G14" s="10"/>
      <c r="H14" s="11"/>
      <c r="I14" s="11"/>
      <c r="J14" s="11"/>
      <c r="K14" s="11"/>
    </row>
    <row r="15" spans="1:16" x14ac:dyDescent="0.3">
      <c r="A15" s="10" t="s">
        <v>311</v>
      </c>
      <c r="B15" s="56">
        <f>4920/1000</f>
        <v>4.92</v>
      </c>
      <c r="C15" s="10">
        <v>0</v>
      </c>
      <c r="E15" s="22"/>
      <c r="F15" s="10"/>
      <c r="G15" s="10"/>
      <c r="H15" s="11"/>
      <c r="I15" s="11"/>
      <c r="J15" s="11"/>
      <c r="K15" s="11"/>
    </row>
    <row r="16" spans="1:16" x14ac:dyDescent="0.3">
      <c r="A16" s="10" t="s">
        <v>310</v>
      </c>
      <c r="B16" s="56">
        <f>2100/1000</f>
        <v>2.1</v>
      </c>
      <c r="C16" s="10">
        <v>0</v>
      </c>
      <c r="E16" s="22"/>
      <c r="F16" s="10"/>
      <c r="G16" s="10"/>
      <c r="H16" s="11"/>
      <c r="I16" s="11"/>
      <c r="J16" s="11"/>
      <c r="K16" s="11"/>
    </row>
    <row r="17" spans="1:14" x14ac:dyDescent="0.3">
      <c r="A17" s="55" t="s">
        <v>255</v>
      </c>
      <c r="B17" s="55"/>
      <c r="C17" s="55">
        <f>SUM(C6:C16)</f>
        <v>3987.34</v>
      </c>
      <c r="E17" s="55"/>
      <c r="F17" s="55"/>
      <c r="G17" s="55"/>
      <c r="H17" s="55"/>
      <c r="I17" s="55"/>
      <c r="J17" s="55"/>
      <c r="K17" s="55"/>
    </row>
    <row r="19" spans="1:14" x14ac:dyDescent="0.3">
      <c r="A19" s="50" t="s">
        <v>257</v>
      </c>
    </row>
    <row r="20" spans="1:14" x14ac:dyDescent="0.3">
      <c r="A20" s="79" t="s">
        <v>258</v>
      </c>
      <c r="B20" s="55" t="s">
        <v>259</v>
      </c>
      <c r="C20" s="55" t="s">
        <v>260</v>
      </c>
      <c r="D20" s="55" t="s">
        <v>262</v>
      </c>
      <c r="E20" s="55" t="s">
        <v>263</v>
      </c>
      <c r="F20" s="55" t="s">
        <v>264</v>
      </c>
      <c r="G20" s="2" t="s">
        <v>265</v>
      </c>
      <c r="H20" s="2"/>
      <c r="I20" s="2"/>
      <c r="J20" s="2"/>
      <c r="K20" s="2"/>
      <c r="L20" s="2"/>
      <c r="M20" s="2"/>
      <c r="N20" s="2"/>
    </row>
    <row r="21" spans="1:14" x14ac:dyDescent="0.3">
      <c r="A21" s="11" t="s">
        <v>266</v>
      </c>
      <c r="B21" s="10">
        <v>8.7200000000000006</v>
      </c>
      <c r="C21" s="10">
        <v>1.48</v>
      </c>
      <c r="D21" s="22">
        <v>12983</v>
      </c>
      <c r="E21" s="22">
        <v>12806</v>
      </c>
      <c r="F21" s="22">
        <f t="shared" ref="F21:F32" si="1">D21+E21</f>
        <v>25789</v>
      </c>
      <c r="G21" s="80" t="s">
        <v>267</v>
      </c>
      <c r="H21" s="81"/>
      <c r="I21" s="81"/>
      <c r="J21" s="81"/>
      <c r="K21" s="81"/>
      <c r="L21" s="81"/>
      <c r="M21" s="81"/>
      <c r="N21" s="82"/>
    </row>
    <row r="22" spans="1:14" x14ac:dyDescent="0.3">
      <c r="A22" s="11" t="s">
        <v>268</v>
      </c>
      <c r="B22" s="10">
        <v>8.7200000000000006</v>
      </c>
      <c r="C22" s="10">
        <v>1.97</v>
      </c>
      <c r="D22" s="22">
        <v>12983</v>
      </c>
      <c r="E22" s="22">
        <v>12806</v>
      </c>
      <c r="F22" s="22">
        <f t="shared" si="1"/>
        <v>25789</v>
      </c>
      <c r="G22" s="80" t="s">
        <v>269</v>
      </c>
      <c r="H22" s="81"/>
      <c r="I22" s="81"/>
      <c r="J22" s="81"/>
      <c r="K22" s="81"/>
      <c r="L22" s="81"/>
      <c r="M22" s="81"/>
      <c r="N22" s="82"/>
    </row>
    <row r="23" spans="1:14" x14ac:dyDescent="0.3">
      <c r="A23" s="11" t="s">
        <v>270</v>
      </c>
      <c r="B23" s="10">
        <v>8.7200000000000006</v>
      </c>
      <c r="C23" s="10">
        <v>1.48</v>
      </c>
      <c r="D23" s="22">
        <v>12983</v>
      </c>
      <c r="E23" s="22">
        <v>12806</v>
      </c>
      <c r="F23" s="22">
        <f t="shared" si="1"/>
        <v>25789</v>
      </c>
      <c r="G23" s="80" t="s">
        <v>271</v>
      </c>
      <c r="H23" s="81"/>
      <c r="I23" s="81"/>
      <c r="J23" s="81"/>
      <c r="K23" s="81"/>
      <c r="L23" s="81"/>
      <c r="M23" s="81"/>
      <c r="N23" s="82"/>
    </row>
    <row r="24" spans="1:14" x14ac:dyDescent="0.3">
      <c r="A24" s="11" t="s">
        <v>272</v>
      </c>
      <c r="B24" s="10">
        <v>8.7200000000000006</v>
      </c>
      <c r="C24" s="10">
        <v>1.76</v>
      </c>
      <c r="D24" s="22">
        <v>12983</v>
      </c>
      <c r="E24" s="22">
        <v>12806</v>
      </c>
      <c r="F24" s="22">
        <f t="shared" si="1"/>
        <v>25789</v>
      </c>
      <c r="G24" s="80" t="s">
        <v>273</v>
      </c>
      <c r="H24" s="81"/>
      <c r="I24" s="81"/>
      <c r="J24" s="81"/>
      <c r="K24" s="81"/>
      <c r="L24" s="81"/>
      <c r="M24" s="81"/>
      <c r="N24" s="82"/>
    </row>
    <row r="25" spans="1:14" x14ac:dyDescent="0.3">
      <c r="A25" s="11" t="s">
        <v>274</v>
      </c>
      <c r="B25" s="10">
        <v>8.7200000000000006</v>
      </c>
      <c r="C25" s="10">
        <v>2.1</v>
      </c>
      <c r="D25" s="22">
        <v>12983</v>
      </c>
      <c r="E25" s="22">
        <v>12806</v>
      </c>
      <c r="F25" s="22">
        <f t="shared" si="1"/>
        <v>25789</v>
      </c>
      <c r="G25" s="80" t="s">
        <v>275</v>
      </c>
      <c r="H25" s="81"/>
      <c r="I25" s="81"/>
      <c r="J25" s="81"/>
      <c r="K25" s="81"/>
      <c r="L25" s="81"/>
      <c r="M25" s="81"/>
      <c r="N25" s="82"/>
    </row>
    <row r="26" spans="1:14" x14ac:dyDescent="0.3">
      <c r="A26" s="11" t="s">
        <v>325</v>
      </c>
      <c r="B26" s="10">
        <v>8.15</v>
      </c>
      <c r="C26" s="10">
        <v>3.07</v>
      </c>
      <c r="D26" s="22">
        <v>12983</v>
      </c>
      <c r="E26" s="22">
        <v>10370</v>
      </c>
      <c r="F26" s="22">
        <f t="shared" si="1"/>
        <v>23353</v>
      </c>
      <c r="G26" s="80" t="s">
        <v>326</v>
      </c>
      <c r="H26" s="81"/>
      <c r="I26" s="81"/>
      <c r="J26" s="81"/>
      <c r="K26" s="81"/>
      <c r="L26" s="81"/>
      <c r="M26" s="81"/>
      <c r="N26" s="82"/>
    </row>
    <row r="27" spans="1:14" x14ac:dyDescent="0.3">
      <c r="A27" s="11" t="s">
        <v>276</v>
      </c>
      <c r="B27" s="10">
        <v>8.7200000000000006</v>
      </c>
      <c r="C27" s="10">
        <v>1.87</v>
      </c>
      <c r="D27" s="22">
        <v>12983</v>
      </c>
      <c r="E27" s="22">
        <v>12806</v>
      </c>
      <c r="F27" s="22">
        <f t="shared" si="1"/>
        <v>25789</v>
      </c>
      <c r="G27" s="80" t="s">
        <v>277</v>
      </c>
      <c r="H27" s="81"/>
      <c r="I27" s="81"/>
      <c r="J27" s="81"/>
      <c r="K27" s="81"/>
      <c r="L27" s="81"/>
      <c r="M27" s="81"/>
      <c r="N27" s="82"/>
    </row>
    <row r="28" spans="1:14" x14ac:dyDescent="0.3">
      <c r="A28" s="11" t="s">
        <v>278</v>
      </c>
      <c r="B28" s="10">
        <v>8.7200000000000006</v>
      </c>
      <c r="C28" s="10">
        <v>2.0299999999999998</v>
      </c>
      <c r="D28" s="22">
        <v>12983</v>
      </c>
      <c r="E28" s="22">
        <v>12806</v>
      </c>
      <c r="F28" s="22">
        <f t="shared" si="1"/>
        <v>25789</v>
      </c>
      <c r="G28" s="80" t="s">
        <v>279</v>
      </c>
      <c r="H28" s="81"/>
      <c r="I28" s="81"/>
      <c r="J28" s="81"/>
      <c r="K28" s="81"/>
      <c r="L28" s="81"/>
      <c r="M28" s="81"/>
      <c r="N28" s="82"/>
    </row>
    <row r="29" spans="1:14" x14ac:dyDescent="0.3">
      <c r="A29" s="11" t="s">
        <v>280</v>
      </c>
      <c r="B29" s="10">
        <v>8.7200000000000006</v>
      </c>
      <c r="C29" s="10">
        <v>1.98</v>
      </c>
      <c r="D29" s="22">
        <v>12983</v>
      </c>
      <c r="E29" s="22">
        <v>12806</v>
      </c>
      <c r="F29" s="22">
        <f t="shared" si="1"/>
        <v>25789</v>
      </c>
      <c r="G29" s="80" t="s">
        <v>281</v>
      </c>
      <c r="H29" s="81"/>
      <c r="I29" s="81"/>
      <c r="J29" s="81"/>
      <c r="K29" s="81"/>
      <c r="L29" s="81"/>
      <c r="M29" s="81"/>
      <c r="N29" s="82"/>
    </row>
    <row r="30" spans="1:14" x14ac:dyDescent="0.3">
      <c r="A30" s="11" t="s">
        <v>282</v>
      </c>
      <c r="B30" s="10">
        <v>8.7100000000000009</v>
      </c>
      <c r="C30" s="10">
        <v>1.96</v>
      </c>
      <c r="D30" s="22">
        <v>12983</v>
      </c>
      <c r="E30" s="22">
        <v>12750</v>
      </c>
      <c r="F30" s="22">
        <f t="shared" si="1"/>
        <v>25733</v>
      </c>
      <c r="G30" s="80" t="s">
        <v>283</v>
      </c>
      <c r="H30" s="81"/>
      <c r="I30" s="81"/>
      <c r="J30" s="81"/>
      <c r="K30" s="81"/>
      <c r="L30" s="81"/>
      <c r="M30" s="81"/>
      <c r="N30" s="82"/>
    </row>
    <row r="31" spans="1:14" x14ac:dyDescent="0.3">
      <c r="A31" s="11" t="s">
        <v>284</v>
      </c>
      <c r="B31" s="10">
        <v>8.7200000000000006</v>
      </c>
      <c r="C31" s="10">
        <v>1.87</v>
      </c>
      <c r="D31" s="22">
        <v>12983</v>
      </c>
      <c r="E31" s="22">
        <v>12806</v>
      </c>
      <c r="F31" s="22">
        <f t="shared" si="1"/>
        <v>25789</v>
      </c>
      <c r="G31" s="80" t="s">
        <v>285</v>
      </c>
      <c r="H31" s="81"/>
      <c r="I31" s="81"/>
      <c r="J31" s="81"/>
      <c r="K31" s="81"/>
      <c r="L31" s="81"/>
      <c r="M31" s="81"/>
      <c r="N31" s="82"/>
    </row>
    <row r="32" spans="1:14" x14ac:dyDescent="0.3">
      <c r="A32" s="11" t="s">
        <v>286</v>
      </c>
      <c r="B32" s="10">
        <v>8.66</v>
      </c>
      <c r="C32" s="10">
        <v>2.02</v>
      </c>
      <c r="D32" s="22">
        <v>12983</v>
      </c>
      <c r="E32" s="22">
        <v>12552</v>
      </c>
      <c r="F32" s="22">
        <f t="shared" si="1"/>
        <v>25535</v>
      </c>
      <c r="G32" s="80" t="s">
        <v>287</v>
      </c>
      <c r="H32" s="81"/>
      <c r="I32" s="81"/>
      <c r="J32" s="81"/>
      <c r="K32" s="81"/>
      <c r="L32" s="81"/>
      <c r="M32" s="81"/>
      <c r="N32" s="82"/>
    </row>
    <row r="34" spans="1:14" x14ac:dyDescent="0.3">
      <c r="A34" s="89" t="s">
        <v>301</v>
      </c>
    </row>
    <row r="35" spans="1:14" x14ac:dyDescent="0.3">
      <c r="A35" s="55" t="s">
        <v>237</v>
      </c>
      <c r="B35" s="55" t="s">
        <v>289</v>
      </c>
      <c r="C35" s="55" t="s">
        <v>290</v>
      </c>
      <c r="D35" s="55" t="s">
        <v>291</v>
      </c>
      <c r="E35" s="55" t="s">
        <v>292</v>
      </c>
      <c r="F35" s="55" t="s">
        <v>293</v>
      </c>
      <c r="G35" s="55" t="s">
        <v>327</v>
      </c>
      <c r="H35" s="55" t="s">
        <v>294</v>
      </c>
      <c r="I35" s="55" t="s">
        <v>295</v>
      </c>
      <c r="J35" s="55" t="s">
        <v>296</v>
      </c>
      <c r="K35" s="55" t="s">
        <v>297</v>
      </c>
      <c r="L35" s="55" t="s">
        <v>298</v>
      </c>
      <c r="M35" s="55" t="s">
        <v>299</v>
      </c>
      <c r="N35" s="100" t="s">
        <v>328</v>
      </c>
    </row>
    <row r="36" spans="1:14" x14ac:dyDescent="0.3">
      <c r="A36" s="32" t="s">
        <v>317</v>
      </c>
      <c r="B36" s="32">
        <v>0</v>
      </c>
      <c r="C36" s="32">
        <v>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32">
        <v>0</v>
      </c>
      <c r="N36" s="83">
        <f t="shared" ref="N36:N48" si="2">MAX(B36:M36)</f>
        <v>0</v>
      </c>
    </row>
    <row r="37" spans="1:14" x14ac:dyDescent="0.3">
      <c r="A37" s="32" t="s">
        <v>316</v>
      </c>
      <c r="B37" s="32">
        <v>0</v>
      </c>
      <c r="C37" s="32">
        <v>0</v>
      </c>
      <c r="D37" s="32">
        <v>0</v>
      </c>
      <c r="E37" s="32">
        <v>0</v>
      </c>
      <c r="F37" s="32">
        <v>0</v>
      </c>
      <c r="G37" s="32">
        <v>0</v>
      </c>
      <c r="H37" s="32">
        <v>0</v>
      </c>
      <c r="I37" s="32">
        <v>0</v>
      </c>
      <c r="J37" s="32">
        <v>0</v>
      </c>
      <c r="K37" s="32">
        <v>0</v>
      </c>
      <c r="L37" s="32">
        <v>0</v>
      </c>
      <c r="M37" s="32">
        <v>0</v>
      </c>
      <c r="N37" s="83">
        <f t="shared" si="2"/>
        <v>0</v>
      </c>
    </row>
    <row r="38" spans="1:14" x14ac:dyDescent="0.3">
      <c r="A38" s="10" t="s">
        <v>315</v>
      </c>
      <c r="B38" s="10">
        <v>421</v>
      </c>
      <c r="C38" s="10">
        <v>375</v>
      </c>
      <c r="D38" s="10">
        <v>335</v>
      </c>
      <c r="E38" s="32">
        <v>375</v>
      </c>
      <c r="F38" s="10">
        <v>375</v>
      </c>
      <c r="G38" s="32">
        <v>375</v>
      </c>
      <c r="H38" s="32">
        <v>375</v>
      </c>
      <c r="I38" s="32">
        <v>375</v>
      </c>
      <c r="J38" s="32">
        <v>375</v>
      </c>
      <c r="K38" s="32">
        <v>375</v>
      </c>
      <c r="L38" s="32">
        <v>375</v>
      </c>
      <c r="M38" s="32">
        <v>375</v>
      </c>
      <c r="N38" s="83">
        <f t="shared" si="2"/>
        <v>421</v>
      </c>
    </row>
    <row r="39" spans="1:14" x14ac:dyDescent="0.3">
      <c r="A39" s="10" t="s">
        <v>252</v>
      </c>
      <c r="B39" s="10">
        <v>392</v>
      </c>
      <c r="C39" s="10">
        <v>351</v>
      </c>
      <c r="D39" s="10">
        <v>351</v>
      </c>
      <c r="E39" s="32">
        <v>351</v>
      </c>
      <c r="F39" s="10">
        <v>351</v>
      </c>
      <c r="G39" s="32">
        <v>351</v>
      </c>
      <c r="H39" s="32">
        <v>351</v>
      </c>
      <c r="I39" s="32">
        <v>351</v>
      </c>
      <c r="J39" s="32">
        <v>351</v>
      </c>
      <c r="K39" s="32">
        <v>351</v>
      </c>
      <c r="L39" s="32">
        <v>351</v>
      </c>
      <c r="M39" s="32">
        <v>351</v>
      </c>
      <c r="N39" s="83">
        <f t="shared" si="2"/>
        <v>392</v>
      </c>
    </row>
    <row r="40" spans="1:14" x14ac:dyDescent="0.3">
      <c r="A40" s="10" t="s">
        <v>250</v>
      </c>
      <c r="B40" s="10">
        <v>581</v>
      </c>
      <c r="C40" s="10">
        <v>536</v>
      </c>
      <c r="D40" s="10">
        <v>536</v>
      </c>
      <c r="E40" s="32">
        <v>536</v>
      </c>
      <c r="F40" s="10">
        <v>536</v>
      </c>
      <c r="G40" s="32">
        <v>536</v>
      </c>
      <c r="H40" s="32">
        <v>536</v>
      </c>
      <c r="I40" s="32">
        <v>536</v>
      </c>
      <c r="J40" s="32">
        <v>536</v>
      </c>
      <c r="K40" s="32">
        <v>536</v>
      </c>
      <c r="L40" s="32">
        <v>536</v>
      </c>
      <c r="M40" s="32">
        <v>536</v>
      </c>
      <c r="N40" s="83">
        <f t="shared" si="2"/>
        <v>581</v>
      </c>
    </row>
    <row r="41" spans="1:14" x14ac:dyDescent="0.3">
      <c r="A41" s="10" t="s">
        <v>248</v>
      </c>
      <c r="B41" s="10">
        <v>565</v>
      </c>
      <c r="C41" s="10">
        <v>537</v>
      </c>
      <c r="D41" s="10">
        <v>536</v>
      </c>
      <c r="E41" s="11"/>
      <c r="F41" s="10"/>
      <c r="G41" s="11"/>
      <c r="H41" s="10">
        <v>537</v>
      </c>
      <c r="I41" s="10">
        <v>537</v>
      </c>
      <c r="J41" s="10">
        <v>537</v>
      </c>
      <c r="K41" s="10">
        <v>537</v>
      </c>
      <c r="L41" s="10">
        <v>537</v>
      </c>
      <c r="M41" s="10">
        <v>537</v>
      </c>
      <c r="N41" s="83">
        <f t="shared" si="2"/>
        <v>565</v>
      </c>
    </row>
    <row r="42" spans="1:14" x14ac:dyDescent="0.3">
      <c r="A42" s="10" t="s">
        <v>245</v>
      </c>
      <c r="B42" s="10">
        <v>463</v>
      </c>
      <c r="C42" s="10">
        <v>420</v>
      </c>
      <c r="D42" s="10">
        <v>439</v>
      </c>
      <c r="E42" s="32">
        <v>77</v>
      </c>
      <c r="F42" s="10">
        <v>77</v>
      </c>
      <c r="G42" s="11"/>
      <c r="H42" s="10">
        <v>420</v>
      </c>
      <c r="I42" s="10">
        <v>420</v>
      </c>
      <c r="J42" s="10">
        <v>420</v>
      </c>
      <c r="K42" s="10">
        <v>420</v>
      </c>
      <c r="L42" s="10">
        <v>420</v>
      </c>
      <c r="M42" s="10">
        <v>420</v>
      </c>
      <c r="N42" s="83">
        <f t="shared" si="2"/>
        <v>463</v>
      </c>
    </row>
    <row r="43" spans="1:14" x14ac:dyDescent="0.3">
      <c r="A43" s="10" t="s">
        <v>242</v>
      </c>
      <c r="B43" s="10">
        <v>527</v>
      </c>
      <c r="C43" s="10">
        <v>485</v>
      </c>
      <c r="D43" s="10">
        <v>493</v>
      </c>
      <c r="E43" s="32"/>
      <c r="F43" s="10"/>
      <c r="G43" s="11"/>
      <c r="H43" s="10">
        <v>485</v>
      </c>
      <c r="I43" s="10">
        <v>485</v>
      </c>
      <c r="J43" s="10">
        <v>485</v>
      </c>
      <c r="K43" s="10">
        <v>485</v>
      </c>
      <c r="L43" s="10">
        <v>485</v>
      </c>
      <c r="M43" s="10">
        <v>485</v>
      </c>
      <c r="N43" s="83">
        <f t="shared" si="2"/>
        <v>527</v>
      </c>
    </row>
    <row r="44" spans="1:14" x14ac:dyDescent="0.3">
      <c r="A44" s="10" t="s">
        <v>314</v>
      </c>
      <c r="B44" s="10">
        <v>494</v>
      </c>
      <c r="C44" s="10">
        <v>460</v>
      </c>
      <c r="D44" s="10">
        <v>464</v>
      </c>
      <c r="E44" s="32">
        <v>105</v>
      </c>
      <c r="F44" s="10">
        <v>105</v>
      </c>
      <c r="G44" s="11"/>
      <c r="H44" s="10">
        <v>460</v>
      </c>
      <c r="I44" s="10">
        <v>460</v>
      </c>
      <c r="J44" s="10">
        <v>460</v>
      </c>
      <c r="K44" s="10">
        <v>460</v>
      </c>
      <c r="L44" s="10">
        <v>460</v>
      </c>
      <c r="M44" s="10">
        <v>460</v>
      </c>
      <c r="N44" s="83">
        <f t="shared" si="2"/>
        <v>494</v>
      </c>
    </row>
    <row r="45" spans="1:14" x14ac:dyDescent="0.3">
      <c r="A45" s="10" t="s">
        <v>313</v>
      </c>
      <c r="B45" s="10">
        <v>339</v>
      </c>
      <c r="C45" s="10">
        <v>317</v>
      </c>
      <c r="D45" s="10">
        <v>323</v>
      </c>
      <c r="E45" s="32">
        <v>323</v>
      </c>
      <c r="F45" s="10"/>
      <c r="G45" s="11"/>
      <c r="H45" s="10">
        <v>317</v>
      </c>
      <c r="I45" s="10">
        <v>113</v>
      </c>
      <c r="J45" s="10">
        <v>317</v>
      </c>
      <c r="K45" s="10">
        <v>204</v>
      </c>
      <c r="L45" s="10">
        <v>317</v>
      </c>
      <c r="M45" s="11"/>
      <c r="N45" s="83">
        <f t="shared" si="2"/>
        <v>339</v>
      </c>
    </row>
    <row r="46" spans="1:14" x14ac:dyDescent="0.3">
      <c r="A46" s="10" t="s">
        <v>312</v>
      </c>
      <c r="B46" s="10">
        <v>297</v>
      </c>
      <c r="C46" s="10">
        <v>290</v>
      </c>
      <c r="D46" s="10">
        <v>293</v>
      </c>
      <c r="E46" s="32">
        <v>293</v>
      </c>
      <c r="F46" s="10"/>
      <c r="G46" s="11"/>
      <c r="H46" s="10">
        <v>290</v>
      </c>
      <c r="I46" s="10">
        <v>113</v>
      </c>
      <c r="J46" s="10">
        <v>290</v>
      </c>
      <c r="K46" s="10">
        <v>177</v>
      </c>
      <c r="L46" s="10">
        <v>290</v>
      </c>
      <c r="M46" s="11"/>
      <c r="N46" s="83">
        <f t="shared" si="2"/>
        <v>297</v>
      </c>
    </row>
    <row r="47" spans="1:14" x14ac:dyDescent="0.3">
      <c r="A47" s="10" t="s">
        <v>311</v>
      </c>
      <c r="B47" s="10">
        <v>175</v>
      </c>
      <c r="C47" s="10">
        <v>171</v>
      </c>
      <c r="D47" s="10">
        <v>172</v>
      </c>
      <c r="E47" s="32">
        <v>172</v>
      </c>
      <c r="F47" s="10"/>
      <c r="G47" s="11"/>
      <c r="H47" s="10">
        <v>82</v>
      </c>
      <c r="I47" s="10">
        <v>82</v>
      </c>
      <c r="J47" s="10">
        <v>89</v>
      </c>
      <c r="K47" s="10">
        <v>89</v>
      </c>
      <c r="L47" s="10"/>
      <c r="M47" s="11"/>
      <c r="N47" s="83">
        <f t="shared" si="2"/>
        <v>175</v>
      </c>
    </row>
    <row r="48" spans="1:14" x14ac:dyDescent="0.3">
      <c r="A48" s="10" t="s">
        <v>310</v>
      </c>
      <c r="B48" s="10">
        <v>64</v>
      </c>
      <c r="C48" s="10">
        <v>60</v>
      </c>
      <c r="D48" s="10">
        <v>60</v>
      </c>
      <c r="E48" s="32">
        <v>60</v>
      </c>
      <c r="F48" s="10"/>
      <c r="G48" s="11"/>
      <c r="H48" s="10"/>
      <c r="I48" s="10"/>
      <c r="J48" s="10">
        <v>60</v>
      </c>
      <c r="K48" s="10">
        <v>60</v>
      </c>
      <c r="L48" s="10"/>
      <c r="M48" s="11"/>
      <c r="N48" s="83">
        <f t="shared" si="2"/>
        <v>64</v>
      </c>
    </row>
    <row r="49" spans="1:14" x14ac:dyDescent="0.3">
      <c r="A49" s="55" t="s">
        <v>302</v>
      </c>
      <c r="B49" s="55">
        <f t="shared" ref="B49:N49" si="3">SUM(B38:B48)</f>
        <v>4318</v>
      </c>
      <c r="C49" s="55">
        <f t="shared" si="3"/>
        <v>4002</v>
      </c>
      <c r="D49" s="55">
        <f t="shared" si="3"/>
        <v>4002</v>
      </c>
      <c r="E49" s="55">
        <f t="shared" si="3"/>
        <v>2292</v>
      </c>
      <c r="F49" s="55">
        <f t="shared" si="3"/>
        <v>1444</v>
      </c>
      <c r="G49" s="55">
        <f t="shared" si="3"/>
        <v>1262</v>
      </c>
      <c r="H49" s="55">
        <f t="shared" si="3"/>
        <v>3853</v>
      </c>
      <c r="I49" s="55">
        <f t="shared" si="3"/>
        <v>3472</v>
      </c>
      <c r="J49" s="55">
        <f t="shared" si="3"/>
        <v>3920</v>
      </c>
      <c r="K49" s="55">
        <f t="shared" si="3"/>
        <v>3694</v>
      </c>
      <c r="L49" s="55">
        <f t="shared" si="3"/>
        <v>3771</v>
      </c>
      <c r="M49" s="55">
        <f t="shared" si="3"/>
        <v>3164</v>
      </c>
      <c r="N49" s="55">
        <f t="shared" si="3"/>
        <v>4318</v>
      </c>
    </row>
    <row r="50" spans="1:14" x14ac:dyDescent="0.3">
      <c r="B50" s="4"/>
    </row>
    <row r="51" spans="1:14" x14ac:dyDescent="0.3">
      <c r="A51" s="50" t="s">
        <v>288</v>
      </c>
      <c r="B51" s="4"/>
    </row>
    <row r="52" spans="1:14" x14ac:dyDescent="0.3">
      <c r="A52" s="55" t="s">
        <v>237</v>
      </c>
      <c r="B52" s="55" t="s">
        <v>289</v>
      </c>
      <c r="C52" s="55" t="s">
        <v>290</v>
      </c>
      <c r="D52" s="55" t="s">
        <v>291</v>
      </c>
      <c r="E52" s="55" t="s">
        <v>292</v>
      </c>
      <c r="F52" s="55" t="s">
        <v>293</v>
      </c>
      <c r="G52" s="55" t="s">
        <v>327</v>
      </c>
      <c r="H52" s="55" t="s">
        <v>294</v>
      </c>
      <c r="I52" s="55" t="s">
        <v>295</v>
      </c>
      <c r="J52" s="55" t="s">
        <v>296</v>
      </c>
      <c r="K52" s="55" t="s">
        <v>297</v>
      </c>
      <c r="L52" s="55" t="s">
        <v>298</v>
      </c>
      <c r="M52" s="55" t="s">
        <v>299</v>
      </c>
      <c r="N52" s="100" t="s">
        <v>328</v>
      </c>
    </row>
    <row r="53" spans="1:14" x14ac:dyDescent="0.3">
      <c r="A53" s="32" t="s">
        <v>317</v>
      </c>
      <c r="B53" s="84">
        <v>0</v>
      </c>
      <c r="C53" s="84">
        <v>0</v>
      </c>
      <c r="D53" s="84">
        <v>0</v>
      </c>
      <c r="E53" s="84">
        <v>0</v>
      </c>
      <c r="F53" s="84">
        <v>0</v>
      </c>
      <c r="G53" s="84">
        <v>0</v>
      </c>
      <c r="H53" s="84">
        <v>0</v>
      </c>
      <c r="I53" s="84">
        <v>0</v>
      </c>
      <c r="J53" s="84">
        <v>0</v>
      </c>
      <c r="K53" s="84">
        <v>0</v>
      </c>
      <c r="L53" s="84">
        <v>0</v>
      </c>
      <c r="M53" s="84">
        <v>0</v>
      </c>
      <c r="N53" s="83">
        <f t="shared" ref="N53:N65" si="4">MAX(B53:M53)</f>
        <v>0</v>
      </c>
    </row>
    <row r="54" spans="1:14" x14ac:dyDescent="0.3">
      <c r="A54" s="32" t="s">
        <v>316</v>
      </c>
      <c r="B54" s="84">
        <v>0</v>
      </c>
      <c r="C54" s="84">
        <v>0</v>
      </c>
      <c r="D54" s="84">
        <v>0</v>
      </c>
      <c r="E54" s="84">
        <v>0</v>
      </c>
      <c r="F54" s="84">
        <v>0</v>
      </c>
      <c r="G54" s="84">
        <v>0</v>
      </c>
      <c r="H54" s="84">
        <v>0</v>
      </c>
      <c r="I54" s="84">
        <v>0</v>
      </c>
      <c r="J54" s="84">
        <v>0</v>
      </c>
      <c r="K54" s="84">
        <v>0</v>
      </c>
      <c r="L54" s="84">
        <v>0</v>
      </c>
      <c r="M54" s="84">
        <v>0</v>
      </c>
      <c r="N54" s="83">
        <f t="shared" si="4"/>
        <v>0</v>
      </c>
    </row>
    <row r="55" spans="1:14" x14ac:dyDescent="0.3">
      <c r="A55" s="10" t="s">
        <v>315</v>
      </c>
      <c r="B55" s="22">
        <v>673</v>
      </c>
      <c r="C55" s="22">
        <v>577</v>
      </c>
      <c r="D55" s="22">
        <v>515</v>
      </c>
      <c r="E55" s="22">
        <v>577</v>
      </c>
      <c r="F55" s="22">
        <v>577</v>
      </c>
      <c r="G55" s="84">
        <v>577</v>
      </c>
      <c r="H55" s="84">
        <v>577</v>
      </c>
      <c r="I55" s="84">
        <v>577</v>
      </c>
      <c r="J55" s="84">
        <v>577</v>
      </c>
      <c r="K55" s="84">
        <v>577</v>
      </c>
      <c r="L55" s="84">
        <v>577</v>
      </c>
      <c r="M55" s="84">
        <v>577</v>
      </c>
      <c r="N55" s="83">
        <f t="shared" si="4"/>
        <v>673</v>
      </c>
    </row>
    <row r="56" spans="1:14" x14ac:dyDescent="0.3">
      <c r="A56" s="10" t="s">
        <v>252</v>
      </c>
      <c r="B56" s="22">
        <v>626</v>
      </c>
      <c r="C56" s="22">
        <v>540</v>
      </c>
      <c r="D56" s="22">
        <v>540</v>
      </c>
      <c r="E56" s="22">
        <v>540</v>
      </c>
      <c r="F56" s="22">
        <v>540</v>
      </c>
      <c r="G56" s="84">
        <v>540</v>
      </c>
      <c r="H56" s="84">
        <v>540</v>
      </c>
      <c r="I56" s="84">
        <v>540</v>
      </c>
      <c r="J56" s="84">
        <v>540</v>
      </c>
      <c r="K56" s="84">
        <v>540</v>
      </c>
      <c r="L56" s="84">
        <v>540</v>
      </c>
      <c r="M56" s="84">
        <v>540</v>
      </c>
      <c r="N56" s="83">
        <f t="shared" si="4"/>
        <v>626</v>
      </c>
    </row>
    <row r="57" spans="1:14" x14ac:dyDescent="0.3">
      <c r="A57" s="10" t="s">
        <v>250</v>
      </c>
      <c r="B57" s="22">
        <v>930</v>
      </c>
      <c r="C57" s="22">
        <v>825</v>
      </c>
      <c r="D57" s="22">
        <v>825</v>
      </c>
      <c r="E57" s="22">
        <v>825</v>
      </c>
      <c r="F57" s="22">
        <v>825</v>
      </c>
      <c r="G57" s="84">
        <v>825</v>
      </c>
      <c r="H57" s="84">
        <v>825</v>
      </c>
      <c r="I57" s="84">
        <v>825</v>
      </c>
      <c r="J57" s="84">
        <v>825</v>
      </c>
      <c r="K57" s="84">
        <v>825</v>
      </c>
      <c r="L57" s="84">
        <v>825</v>
      </c>
      <c r="M57" s="84">
        <v>825</v>
      </c>
      <c r="N57" s="83">
        <f t="shared" si="4"/>
        <v>930</v>
      </c>
    </row>
    <row r="58" spans="1:14" x14ac:dyDescent="0.3">
      <c r="A58" s="10" t="s">
        <v>248</v>
      </c>
      <c r="B58" s="22">
        <v>905</v>
      </c>
      <c r="C58" s="22">
        <v>828</v>
      </c>
      <c r="D58" s="22">
        <v>1020</v>
      </c>
      <c r="E58" s="22">
        <v>0</v>
      </c>
      <c r="F58" s="22">
        <v>0</v>
      </c>
      <c r="G58" s="22">
        <v>0</v>
      </c>
      <c r="H58" s="22">
        <v>828</v>
      </c>
      <c r="I58" s="22">
        <v>828</v>
      </c>
      <c r="J58" s="84">
        <v>828</v>
      </c>
      <c r="K58" s="84">
        <v>828</v>
      </c>
      <c r="L58" s="84">
        <v>828</v>
      </c>
      <c r="M58" s="84">
        <v>828</v>
      </c>
      <c r="N58" s="83">
        <f t="shared" si="4"/>
        <v>1020</v>
      </c>
    </row>
    <row r="59" spans="1:14" x14ac:dyDescent="0.3">
      <c r="A59" s="10" t="s">
        <v>245</v>
      </c>
      <c r="B59" s="22">
        <v>741</v>
      </c>
      <c r="C59" s="22">
        <v>648</v>
      </c>
      <c r="D59" s="22">
        <v>834</v>
      </c>
      <c r="E59" s="22">
        <v>1386</v>
      </c>
      <c r="F59" s="22">
        <v>1386</v>
      </c>
      <c r="G59" s="22">
        <v>0</v>
      </c>
      <c r="H59" s="22">
        <v>648</v>
      </c>
      <c r="I59" s="22">
        <v>648</v>
      </c>
      <c r="J59" s="84">
        <v>648</v>
      </c>
      <c r="K59" s="84">
        <v>648</v>
      </c>
      <c r="L59" s="84">
        <v>648</v>
      </c>
      <c r="M59" s="84">
        <v>648</v>
      </c>
      <c r="N59" s="83">
        <f t="shared" si="4"/>
        <v>1386</v>
      </c>
    </row>
    <row r="60" spans="1:14" x14ac:dyDescent="0.3">
      <c r="A60" s="10" t="s">
        <v>242</v>
      </c>
      <c r="B60" s="22">
        <v>843</v>
      </c>
      <c r="C60" s="22">
        <v>747</v>
      </c>
      <c r="D60" s="22">
        <v>936</v>
      </c>
      <c r="E60" s="22">
        <v>0</v>
      </c>
      <c r="F60" s="22">
        <v>0</v>
      </c>
      <c r="G60" s="22">
        <v>0</v>
      </c>
      <c r="H60" s="22">
        <v>747</v>
      </c>
      <c r="I60" s="22">
        <v>747</v>
      </c>
      <c r="J60" s="84">
        <v>747</v>
      </c>
      <c r="K60" s="84">
        <v>747</v>
      </c>
      <c r="L60" s="84">
        <v>747</v>
      </c>
      <c r="M60" s="84">
        <v>747</v>
      </c>
      <c r="N60" s="83">
        <f t="shared" si="4"/>
        <v>936</v>
      </c>
    </row>
    <row r="61" spans="1:14" x14ac:dyDescent="0.3">
      <c r="A61" s="10" t="s">
        <v>314</v>
      </c>
      <c r="B61" s="22">
        <v>791</v>
      </c>
      <c r="C61" s="22">
        <v>707</v>
      </c>
      <c r="D61" s="22">
        <v>882</v>
      </c>
      <c r="E61" s="22">
        <v>1890</v>
      </c>
      <c r="F61" s="22">
        <v>1890</v>
      </c>
      <c r="G61" s="22">
        <v>0</v>
      </c>
      <c r="H61" s="22">
        <v>707</v>
      </c>
      <c r="I61" s="22">
        <v>707</v>
      </c>
      <c r="J61" s="84">
        <v>707</v>
      </c>
      <c r="K61" s="84">
        <v>707</v>
      </c>
      <c r="L61" s="84">
        <v>707</v>
      </c>
      <c r="M61" s="84">
        <v>707</v>
      </c>
      <c r="N61" s="83">
        <f t="shared" si="4"/>
        <v>1890</v>
      </c>
    </row>
    <row r="62" spans="1:14" x14ac:dyDescent="0.3">
      <c r="A62" s="10" t="s">
        <v>313</v>
      </c>
      <c r="B62" s="22">
        <v>543</v>
      </c>
      <c r="C62" s="22">
        <v>488</v>
      </c>
      <c r="D62" s="22">
        <v>614</v>
      </c>
      <c r="E62" s="22">
        <v>614</v>
      </c>
      <c r="F62" s="22">
        <v>0</v>
      </c>
      <c r="G62" s="22">
        <v>0</v>
      </c>
      <c r="H62" s="22">
        <v>488</v>
      </c>
      <c r="I62" s="22">
        <v>174</v>
      </c>
      <c r="J62" s="84">
        <v>488</v>
      </c>
      <c r="K62" s="84">
        <v>314</v>
      </c>
      <c r="L62" s="84">
        <v>488</v>
      </c>
      <c r="M62" s="22">
        <v>0</v>
      </c>
      <c r="N62" s="83">
        <f t="shared" si="4"/>
        <v>614</v>
      </c>
    </row>
    <row r="63" spans="1:14" x14ac:dyDescent="0.3">
      <c r="A63" s="10" t="s">
        <v>312</v>
      </c>
      <c r="B63" s="22">
        <v>475</v>
      </c>
      <c r="C63" s="22">
        <v>447</v>
      </c>
      <c r="D63" s="22">
        <v>556</v>
      </c>
      <c r="E63" s="22">
        <v>556</v>
      </c>
      <c r="F63" s="22">
        <v>0</v>
      </c>
      <c r="G63" s="22">
        <v>0</v>
      </c>
      <c r="H63" s="22">
        <v>447</v>
      </c>
      <c r="I63" s="22">
        <v>174</v>
      </c>
      <c r="J63" s="84">
        <v>447</v>
      </c>
      <c r="K63" s="84">
        <v>273</v>
      </c>
      <c r="L63" s="84">
        <v>447</v>
      </c>
      <c r="M63" s="22">
        <v>0</v>
      </c>
      <c r="N63" s="83">
        <f t="shared" si="4"/>
        <v>556</v>
      </c>
    </row>
    <row r="64" spans="1:14" x14ac:dyDescent="0.3">
      <c r="A64" s="10" t="s">
        <v>311</v>
      </c>
      <c r="B64" s="22">
        <v>280</v>
      </c>
      <c r="C64" s="22">
        <v>263</v>
      </c>
      <c r="D64" s="22">
        <v>327</v>
      </c>
      <c r="E64" s="22">
        <v>327</v>
      </c>
      <c r="F64" s="22">
        <v>0</v>
      </c>
      <c r="G64" s="22">
        <v>0</v>
      </c>
      <c r="H64" s="22">
        <v>126</v>
      </c>
      <c r="I64" s="22">
        <v>126</v>
      </c>
      <c r="J64" s="84">
        <v>137</v>
      </c>
      <c r="K64" s="84">
        <v>137</v>
      </c>
      <c r="L64" s="22">
        <v>0</v>
      </c>
      <c r="M64" s="22">
        <v>0</v>
      </c>
      <c r="N64" s="83">
        <f t="shared" si="4"/>
        <v>327</v>
      </c>
    </row>
    <row r="65" spans="1:14" x14ac:dyDescent="0.3">
      <c r="A65" s="10" t="s">
        <v>310</v>
      </c>
      <c r="B65" s="22">
        <v>102</v>
      </c>
      <c r="C65" s="22">
        <v>92</v>
      </c>
      <c r="D65" s="22">
        <v>114</v>
      </c>
      <c r="E65" s="22">
        <v>114</v>
      </c>
      <c r="F65" s="22">
        <v>0</v>
      </c>
      <c r="G65" s="22">
        <v>0</v>
      </c>
      <c r="H65" s="22">
        <v>0</v>
      </c>
      <c r="I65" s="22">
        <v>0</v>
      </c>
      <c r="J65" s="84">
        <v>92</v>
      </c>
      <c r="K65" s="84">
        <v>92</v>
      </c>
      <c r="L65" s="22">
        <v>0</v>
      </c>
      <c r="M65" s="22">
        <v>0</v>
      </c>
      <c r="N65" s="83">
        <f t="shared" si="4"/>
        <v>114</v>
      </c>
    </row>
    <row r="66" spans="1:14" x14ac:dyDescent="0.3">
      <c r="A66" s="55" t="s">
        <v>255</v>
      </c>
      <c r="B66" s="55">
        <f t="shared" ref="B66:N66" si="5">SUM(B55:B65)</f>
        <v>6909</v>
      </c>
      <c r="C66" s="76">
        <f t="shared" si="5"/>
        <v>6162</v>
      </c>
      <c r="D66" s="76">
        <f t="shared" si="5"/>
        <v>7163</v>
      </c>
      <c r="E66" s="76">
        <f t="shared" si="5"/>
        <v>6829</v>
      </c>
      <c r="F66" s="76">
        <f t="shared" si="5"/>
        <v>5218</v>
      </c>
      <c r="G66" s="76">
        <f t="shared" si="5"/>
        <v>1942</v>
      </c>
      <c r="H66" s="76">
        <f t="shared" si="5"/>
        <v>5933</v>
      </c>
      <c r="I66" s="76">
        <f t="shared" si="5"/>
        <v>5346</v>
      </c>
      <c r="J66" s="76">
        <f t="shared" si="5"/>
        <v>6036</v>
      </c>
      <c r="K66" s="76">
        <f t="shared" si="5"/>
        <v>5688</v>
      </c>
      <c r="L66" s="76">
        <f t="shared" si="5"/>
        <v>5807</v>
      </c>
      <c r="M66" s="76">
        <f t="shared" si="5"/>
        <v>4872</v>
      </c>
      <c r="N66" s="55">
        <f t="shared" si="5"/>
        <v>9072</v>
      </c>
    </row>
    <row r="67" spans="1:14" x14ac:dyDescent="0.3">
      <c r="B67" s="4"/>
    </row>
  </sheetData>
  <mergeCells count="1">
    <mergeCell ref="G20:N20"/>
  </mergeCells>
  <phoneticPr fontId="1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A67"/>
  <sheetViews>
    <sheetView zoomScale="85" zoomScaleNormal="85" workbookViewId="0">
      <selection activeCell="G30" sqref="G30"/>
    </sheetView>
  </sheetViews>
  <sheetFormatPr defaultRowHeight="16.5" x14ac:dyDescent="0.3"/>
  <cols>
    <col min="1" max="1" width="8.625" customWidth="1"/>
    <col min="2" max="2" width="22.75" customWidth="1"/>
    <col min="3" max="3" width="6.625" customWidth="1"/>
    <col min="4" max="4" width="11.375" customWidth="1"/>
    <col min="5" max="5" width="8.625" customWidth="1"/>
    <col min="6" max="6" width="9" customWidth="1"/>
    <col min="7" max="9" width="8.625" customWidth="1"/>
    <col min="10" max="13" width="9.25" customWidth="1"/>
    <col min="14" max="20" width="8.625" customWidth="1"/>
    <col min="21" max="21" width="1.375" customWidth="1"/>
    <col min="22" max="1025" width="8.625" customWidth="1"/>
  </cols>
  <sheetData>
    <row r="2" spans="1:27" x14ac:dyDescent="0.3">
      <c r="F2" s="51"/>
      <c r="G2" s="51"/>
    </row>
    <row r="3" spans="1:27" x14ac:dyDescent="0.3">
      <c r="A3" s="4"/>
      <c r="B3" s="11"/>
      <c r="C3" s="10"/>
      <c r="D3" s="10" t="s">
        <v>258</v>
      </c>
      <c r="E3" s="42"/>
      <c r="F3" s="101" t="s">
        <v>329</v>
      </c>
      <c r="G3" s="101" t="s">
        <v>330</v>
      </c>
      <c r="H3" s="102" t="s">
        <v>329</v>
      </c>
      <c r="I3" s="102" t="s">
        <v>330</v>
      </c>
      <c r="J3" s="103" t="s">
        <v>331</v>
      </c>
      <c r="K3" s="103" t="s">
        <v>332</v>
      </c>
      <c r="L3" s="104" t="s">
        <v>333</v>
      </c>
      <c r="M3" s="104" t="s">
        <v>334</v>
      </c>
      <c r="N3" s="105" t="s">
        <v>335</v>
      </c>
      <c r="O3" s="105" t="s">
        <v>318</v>
      </c>
      <c r="P3" s="105" t="s">
        <v>336</v>
      </c>
      <c r="Q3" s="105" t="s">
        <v>337</v>
      </c>
      <c r="R3" s="105" t="s">
        <v>318</v>
      </c>
      <c r="S3" s="105" t="s">
        <v>338</v>
      </c>
      <c r="T3" s="105" t="s">
        <v>339</v>
      </c>
    </row>
    <row r="4" spans="1:27" x14ac:dyDescent="0.3">
      <c r="A4" s="4"/>
      <c r="B4" s="11"/>
      <c r="C4" s="10"/>
      <c r="D4" s="10" t="s">
        <v>295</v>
      </c>
      <c r="E4" s="42"/>
      <c r="F4" s="101" t="s">
        <v>340</v>
      </c>
      <c r="G4" s="101" t="s">
        <v>340</v>
      </c>
      <c r="H4" s="102" t="s">
        <v>341</v>
      </c>
      <c r="I4" s="102" t="s">
        <v>341</v>
      </c>
      <c r="J4" s="103" t="s">
        <v>341</v>
      </c>
      <c r="K4" s="103" t="s">
        <v>341</v>
      </c>
      <c r="L4" s="104" t="s">
        <v>341</v>
      </c>
      <c r="M4" s="104" t="s">
        <v>341</v>
      </c>
      <c r="N4" s="105" t="s">
        <v>342</v>
      </c>
      <c r="O4" s="105" t="s">
        <v>5</v>
      </c>
      <c r="P4" s="106" t="s">
        <v>343</v>
      </c>
      <c r="Q4" s="105" t="s">
        <v>344</v>
      </c>
      <c r="R4" s="105" t="s">
        <v>5</v>
      </c>
      <c r="S4" s="105" t="s">
        <v>308</v>
      </c>
      <c r="T4" s="105" t="s">
        <v>345</v>
      </c>
    </row>
    <row r="5" spans="1:27" x14ac:dyDescent="0.3">
      <c r="A5" s="4">
        <v>0</v>
      </c>
      <c r="B5" s="11" t="s">
        <v>346</v>
      </c>
      <c r="C5" s="10"/>
      <c r="D5" s="107">
        <v>235</v>
      </c>
      <c r="E5" s="108"/>
      <c r="F5" s="109"/>
      <c r="G5" s="109"/>
      <c r="H5" s="110">
        <f>VLOOKUP(F5,위치정보!$A$2:$B$236,2,0)</f>
        <v>0</v>
      </c>
      <c r="I5" s="111">
        <f>VLOOKUP(G5,위치정보!$A$2:$B$236,2,)</f>
        <v>0</v>
      </c>
      <c r="J5" s="112"/>
      <c r="K5" s="112"/>
      <c r="L5" s="113"/>
      <c r="M5" s="113"/>
      <c r="N5" s="114"/>
      <c r="O5" s="114"/>
      <c r="P5" s="114"/>
      <c r="Q5" s="114"/>
      <c r="R5" s="114"/>
      <c r="S5" s="114"/>
      <c r="T5" s="114"/>
      <c r="V5" s="7"/>
    </row>
    <row r="6" spans="1:27" x14ac:dyDescent="0.3">
      <c r="A6" s="4">
        <v>1</v>
      </c>
      <c r="B6" s="11" t="s">
        <v>347</v>
      </c>
      <c r="C6" s="10" t="s">
        <v>115</v>
      </c>
      <c r="D6" s="11">
        <v>75</v>
      </c>
      <c r="E6" s="15"/>
      <c r="F6" s="115">
        <v>57</v>
      </c>
      <c r="G6" s="115">
        <v>73</v>
      </c>
      <c r="H6" s="110">
        <f>VLOOKUP(F6,위치정보!$A$2:$B$236,2,0)</f>
        <v>44940</v>
      </c>
      <c r="I6" s="110">
        <f>VLOOKUP(G6,위치정보!$A$2:$B$236,2,)</f>
        <v>58060</v>
      </c>
      <c r="J6" s="116">
        <v>0</v>
      </c>
      <c r="K6" s="116">
        <v>30200</v>
      </c>
      <c r="L6" s="117">
        <v>4920</v>
      </c>
      <c r="M6" s="117">
        <v>7810</v>
      </c>
      <c r="N6" s="114">
        <v>151.97999999999999</v>
      </c>
      <c r="O6" s="118">
        <f t="shared" ref="O6:O14" si="0">N6*P6</f>
        <v>151.97999999999999</v>
      </c>
      <c r="P6" s="114">
        <v>1</v>
      </c>
      <c r="Q6" s="119">
        <v>0.49</v>
      </c>
      <c r="R6" s="16">
        <f t="shared" ref="R6:R14" si="1">O6*Q6</f>
        <v>74.470199999999991</v>
      </c>
      <c r="S6" s="120">
        <f t="shared" ref="S6:S14" si="2">(M6-L6)/1000</f>
        <v>2.89</v>
      </c>
      <c r="T6" s="121">
        <f t="shared" ref="T6:T14" si="3">S6*P6*9.81/1000</f>
        <v>2.8350900000000002E-2</v>
      </c>
      <c r="V6" s="7">
        <v>75.867288481141699</v>
      </c>
      <c r="W6">
        <v>1</v>
      </c>
    </row>
    <row r="7" spans="1:27" x14ac:dyDescent="0.3">
      <c r="A7" s="4">
        <v>2</v>
      </c>
      <c r="B7" s="11" t="s">
        <v>347</v>
      </c>
      <c r="C7" s="10" t="s">
        <v>348</v>
      </c>
      <c r="D7" s="11">
        <v>75</v>
      </c>
      <c r="E7" s="15"/>
      <c r="F7" s="115">
        <v>61</v>
      </c>
      <c r="G7" s="115">
        <v>73</v>
      </c>
      <c r="H7" s="110">
        <f>VLOOKUP(F7,위치정보!$A$2:$B$236,2,0)</f>
        <v>48220</v>
      </c>
      <c r="I7" s="110">
        <f>VLOOKUP(G7,위치정보!$A$2:$B$236,2,)</f>
        <v>58060</v>
      </c>
      <c r="J7" s="116">
        <v>0</v>
      </c>
      <c r="K7" s="116">
        <v>-30200</v>
      </c>
      <c r="L7" s="117">
        <v>4920</v>
      </c>
      <c r="M7" s="117">
        <v>7810</v>
      </c>
      <c r="N7" s="114">
        <v>108.27</v>
      </c>
      <c r="O7" s="118">
        <f t="shared" si="0"/>
        <v>108.27</v>
      </c>
      <c r="P7" s="114">
        <v>1</v>
      </c>
      <c r="Q7" s="119">
        <v>0.69</v>
      </c>
      <c r="R7" s="16">
        <f t="shared" si="1"/>
        <v>74.706299999999985</v>
      </c>
      <c r="S7" s="120">
        <f t="shared" si="2"/>
        <v>2.89</v>
      </c>
      <c r="T7" s="121">
        <f t="shared" si="3"/>
        <v>2.8350900000000002E-2</v>
      </c>
      <c r="V7" s="7">
        <v>76.154658511722701</v>
      </c>
      <c r="W7" s="14">
        <v>2</v>
      </c>
    </row>
    <row r="8" spans="1:27" x14ac:dyDescent="0.3">
      <c r="A8" s="4">
        <v>3</v>
      </c>
      <c r="B8" s="11" t="s">
        <v>263</v>
      </c>
      <c r="C8" s="10" t="s">
        <v>115</v>
      </c>
      <c r="D8" s="11">
        <v>101</v>
      </c>
      <c r="E8" s="122">
        <f>SUM(D6:D8)</f>
        <v>251</v>
      </c>
      <c r="F8" s="115">
        <v>4</v>
      </c>
      <c r="G8" s="115">
        <v>11</v>
      </c>
      <c r="H8" s="110">
        <f>VLOOKUP(F8,위치정보!$A$2:$B$236,2,0)</f>
        <v>2800</v>
      </c>
      <c r="I8" s="110">
        <f>VLOOKUP(G8,위치정보!$A$2:$B$236,2,)</f>
        <v>7700</v>
      </c>
      <c r="J8" s="116">
        <f>600*6</f>
        <v>3600</v>
      </c>
      <c r="K8" s="116">
        <f>3600+600*12</f>
        <v>10800</v>
      </c>
      <c r="L8" s="117">
        <v>10750</v>
      </c>
      <c r="M8" s="117">
        <v>14400</v>
      </c>
      <c r="N8" s="114">
        <v>101.09</v>
      </c>
      <c r="O8" s="118">
        <f t="shared" si="0"/>
        <v>101.09</v>
      </c>
      <c r="P8" s="114">
        <v>1</v>
      </c>
      <c r="Q8" s="119">
        <v>1</v>
      </c>
      <c r="R8" s="16">
        <f t="shared" si="1"/>
        <v>101.09</v>
      </c>
      <c r="S8" s="120">
        <f t="shared" si="2"/>
        <v>3.65</v>
      </c>
      <c r="T8" s="121">
        <f t="shared" si="3"/>
        <v>3.5806499999999998E-2</v>
      </c>
      <c r="V8" s="7"/>
      <c r="W8" s="14">
        <v>3</v>
      </c>
    </row>
    <row r="9" spans="1:27" x14ac:dyDescent="0.3">
      <c r="A9" s="4">
        <v>4</v>
      </c>
      <c r="B9" s="11" t="s">
        <v>349</v>
      </c>
      <c r="C9" s="10" t="s">
        <v>115</v>
      </c>
      <c r="D9" s="11">
        <v>586</v>
      </c>
      <c r="E9" s="15"/>
      <c r="F9" s="115">
        <v>145</v>
      </c>
      <c r="G9" s="115">
        <v>173</v>
      </c>
      <c r="H9" s="110">
        <f>VLOOKUP(F9,위치정보!$A$2:$B$236,2,0)</f>
        <v>117100</v>
      </c>
      <c r="I9" s="110">
        <f>VLOOKUP(G9,위치정보!$A$2:$B$236,2,)</f>
        <v>140060</v>
      </c>
      <c r="J9" s="116">
        <v>0</v>
      </c>
      <c r="K9" s="116">
        <v>30200</v>
      </c>
      <c r="L9" s="117">
        <v>2100</v>
      </c>
      <c r="M9" s="117">
        <v>7810</v>
      </c>
      <c r="N9" s="123">
        <v>664.24</v>
      </c>
      <c r="O9" s="118">
        <f t="shared" si="0"/>
        <v>650.95519999999999</v>
      </c>
      <c r="P9" s="114">
        <v>0.98</v>
      </c>
      <c r="Q9" s="119">
        <v>0.9</v>
      </c>
      <c r="R9" s="16">
        <f t="shared" si="1"/>
        <v>585.85968000000003</v>
      </c>
      <c r="S9" s="120">
        <f t="shared" si="2"/>
        <v>5.71</v>
      </c>
      <c r="T9" s="121">
        <f t="shared" si="3"/>
        <v>5.4894798000000002E-2</v>
      </c>
      <c r="V9" s="7">
        <v>584.99327217125403</v>
      </c>
      <c r="W9" s="14">
        <v>4</v>
      </c>
    </row>
    <row r="10" spans="1:27" x14ac:dyDescent="0.3">
      <c r="A10" s="4">
        <v>5</v>
      </c>
      <c r="B10" s="11" t="s">
        <v>349</v>
      </c>
      <c r="C10" s="10" t="s">
        <v>348</v>
      </c>
      <c r="D10" s="11">
        <v>566</v>
      </c>
      <c r="E10" s="15"/>
      <c r="F10" s="115">
        <v>145</v>
      </c>
      <c r="G10" s="115">
        <v>173</v>
      </c>
      <c r="H10" s="110">
        <f>VLOOKUP(F10,위치정보!$A$2:$B$236,2,0)</f>
        <v>117100</v>
      </c>
      <c r="I10" s="110">
        <f>VLOOKUP(G10,위치정보!$A$2:$B$236,2,)</f>
        <v>140060</v>
      </c>
      <c r="J10" s="116">
        <v>0</v>
      </c>
      <c r="K10" s="116">
        <v>-30200</v>
      </c>
      <c r="L10" s="117">
        <v>2100</v>
      </c>
      <c r="M10" s="117">
        <v>7810</v>
      </c>
      <c r="N10" s="123">
        <v>641.61</v>
      </c>
      <c r="O10" s="118">
        <f t="shared" si="0"/>
        <v>628.77779999999996</v>
      </c>
      <c r="P10" s="114">
        <v>0.98</v>
      </c>
      <c r="Q10" s="119">
        <v>0.9</v>
      </c>
      <c r="R10" s="16">
        <f t="shared" si="1"/>
        <v>565.90001999999993</v>
      </c>
      <c r="S10" s="120">
        <f t="shared" si="2"/>
        <v>5.71</v>
      </c>
      <c r="T10" s="121">
        <f t="shared" si="3"/>
        <v>5.4894798000000002E-2</v>
      </c>
      <c r="V10" s="7">
        <v>584.99408766564704</v>
      </c>
      <c r="W10" s="14">
        <v>5</v>
      </c>
    </row>
    <row r="11" spans="1:27" x14ac:dyDescent="0.3">
      <c r="A11" s="4">
        <v>6</v>
      </c>
      <c r="B11" s="11" t="s">
        <v>350</v>
      </c>
      <c r="C11" s="10" t="s">
        <v>115</v>
      </c>
      <c r="D11" s="11">
        <v>543</v>
      </c>
      <c r="E11" s="15"/>
      <c r="F11" s="115">
        <v>49</v>
      </c>
      <c r="G11" s="115">
        <v>97</v>
      </c>
      <c r="H11" s="110">
        <f>VLOOKUP(F11,위치정보!$A$2:$B$236,2,0)</f>
        <v>38380</v>
      </c>
      <c r="I11" s="110">
        <f>VLOOKUP(G11,위치정보!$A$2:$B$236,2,)</f>
        <v>77740</v>
      </c>
      <c r="J11" s="116">
        <v>0</v>
      </c>
      <c r="K11" s="116">
        <v>30200</v>
      </c>
      <c r="L11" s="117">
        <v>2100</v>
      </c>
      <c r="M11" s="117">
        <v>4920</v>
      </c>
      <c r="N11" s="123">
        <v>652.25</v>
      </c>
      <c r="O11" s="118">
        <f t="shared" si="0"/>
        <v>639.20500000000004</v>
      </c>
      <c r="P11" s="114">
        <v>0.98</v>
      </c>
      <c r="Q11" s="119">
        <v>0.85</v>
      </c>
      <c r="R11" s="16">
        <f t="shared" si="1"/>
        <v>543.32425000000001</v>
      </c>
      <c r="S11" s="120">
        <f t="shared" si="2"/>
        <v>2.82</v>
      </c>
      <c r="T11" s="121">
        <f t="shared" si="3"/>
        <v>2.7110915999999999E-2</v>
      </c>
      <c r="V11" s="7">
        <v>553.81967380224296</v>
      </c>
      <c r="W11" s="14">
        <v>6</v>
      </c>
    </row>
    <row r="12" spans="1:27" x14ac:dyDescent="0.3">
      <c r="A12" s="4">
        <v>7</v>
      </c>
      <c r="B12" s="11" t="s">
        <v>350</v>
      </c>
      <c r="C12" s="10" t="s">
        <v>348</v>
      </c>
      <c r="D12" s="11">
        <v>540</v>
      </c>
      <c r="E12" s="122">
        <f>SUM(D9:D12)</f>
        <v>2235</v>
      </c>
      <c r="F12" s="115">
        <v>49</v>
      </c>
      <c r="G12" s="115">
        <v>97</v>
      </c>
      <c r="H12" s="110">
        <f>VLOOKUP(F12,위치정보!$A$2:$B$236,2,0)</f>
        <v>38380</v>
      </c>
      <c r="I12" s="110">
        <f>VLOOKUP(G12,위치정보!$A$2:$B$236,2,)</f>
        <v>77740</v>
      </c>
      <c r="J12" s="116">
        <v>0</v>
      </c>
      <c r="K12" s="116">
        <v>30200</v>
      </c>
      <c r="L12" s="117">
        <v>2100</v>
      </c>
      <c r="M12" s="117">
        <v>4920</v>
      </c>
      <c r="N12" s="123">
        <v>648.66999999999996</v>
      </c>
      <c r="O12" s="118">
        <f t="shared" si="0"/>
        <v>635.69659999999999</v>
      </c>
      <c r="P12" s="114">
        <v>0.98</v>
      </c>
      <c r="Q12" s="119">
        <v>0.85</v>
      </c>
      <c r="R12" s="16">
        <f t="shared" si="1"/>
        <v>540.34210999999993</v>
      </c>
      <c r="S12" s="120">
        <f t="shared" si="2"/>
        <v>2.82</v>
      </c>
      <c r="T12" s="121">
        <f t="shared" si="3"/>
        <v>2.7110915999999999E-2</v>
      </c>
      <c r="V12" s="7">
        <v>553.81967380224296</v>
      </c>
      <c r="W12" s="14">
        <v>7</v>
      </c>
    </row>
    <row r="13" spans="1:27" x14ac:dyDescent="0.3">
      <c r="A13" s="4">
        <v>8</v>
      </c>
      <c r="B13" s="11" t="s">
        <v>351</v>
      </c>
      <c r="C13" s="10" t="s">
        <v>115</v>
      </c>
      <c r="D13" s="11">
        <v>51</v>
      </c>
      <c r="E13" s="15"/>
      <c r="F13" s="115">
        <v>13</v>
      </c>
      <c r="G13" s="115">
        <v>18</v>
      </c>
      <c r="H13" s="110">
        <f>VLOOKUP(F13,위치정보!$A$2:$B$236,2,0)</f>
        <v>9100</v>
      </c>
      <c r="I13" s="110">
        <f>VLOOKUP(G13,위치정보!$A$2:$B$236,2,)</f>
        <v>12960</v>
      </c>
      <c r="J13" s="116">
        <f>820*10</f>
        <v>8200</v>
      </c>
      <c r="K13" s="116">
        <f>8200+820*4</f>
        <v>11480</v>
      </c>
      <c r="L13" s="117">
        <f>10750-100</f>
        <v>10650</v>
      </c>
      <c r="M13" s="117">
        <v>20940</v>
      </c>
      <c r="N13" s="123">
        <v>64.489999999999995</v>
      </c>
      <c r="O13" s="118">
        <f t="shared" si="0"/>
        <v>56.751199999999997</v>
      </c>
      <c r="P13" s="114">
        <v>0.88</v>
      </c>
      <c r="Q13" s="119">
        <v>0.9</v>
      </c>
      <c r="R13" s="16">
        <f t="shared" si="1"/>
        <v>51.076079999999997</v>
      </c>
      <c r="S13" s="120">
        <f t="shared" si="2"/>
        <v>10.29</v>
      </c>
      <c r="T13" s="121">
        <f t="shared" si="3"/>
        <v>8.8831512000000001E-2</v>
      </c>
      <c r="V13" s="7"/>
      <c r="W13" s="14">
        <v>8</v>
      </c>
    </row>
    <row r="14" spans="1:27" x14ac:dyDescent="0.3">
      <c r="A14" s="4">
        <v>9</v>
      </c>
      <c r="B14" s="11" t="s">
        <v>351</v>
      </c>
      <c r="C14" s="10" t="s">
        <v>348</v>
      </c>
      <c r="D14" s="11">
        <v>38</v>
      </c>
      <c r="E14" s="122">
        <f>SUM(D13:D14)</f>
        <v>89</v>
      </c>
      <c r="F14" s="115">
        <v>13</v>
      </c>
      <c r="G14" s="115">
        <v>18</v>
      </c>
      <c r="H14" s="110">
        <f>VLOOKUP(F14,위치정보!$A$2:$B$236,2,0)</f>
        <v>9100</v>
      </c>
      <c r="I14" s="110">
        <f>VLOOKUP(G14,위치정보!$A$2:$B$236,2,)</f>
        <v>12960</v>
      </c>
      <c r="J14" s="116">
        <f>-820*10</f>
        <v>-8200</v>
      </c>
      <c r="K14" s="116">
        <f>-8200-820*4</f>
        <v>-11480</v>
      </c>
      <c r="L14" s="117">
        <v>10650</v>
      </c>
      <c r="M14" s="117">
        <v>20940</v>
      </c>
      <c r="N14" s="123">
        <v>48.24</v>
      </c>
      <c r="O14" s="118">
        <f t="shared" si="0"/>
        <v>42.4512</v>
      </c>
      <c r="P14" s="114">
        <v>0.88</v>
      </c>
      <c r="Q14" s="119">
        <v>0.9</v>
      </c>
      <c r="R14" s="16">
        <f t="shared" si="1"/>
        <v>38.20608</v>
      </c>
      <c r="S14" s="120">
        <f t="shared" si="2"/>
        <v>10.29</v>
      </c>
      <c r="T14" s="121">
        <f t="shared" si="3"/>
        <v>8.8831512000000001E-2</v>
      </c>
      <c r="V14" s="7"/>
      <c r="W14" s="14">
        <v>9</v>
      </c>
      <c r="Z14" s="138" t="s">
        <v>435</v>
      </c>
      <c r="AA14" s="138" t="s">
        <v>436</v>
      </c>
    </row>
    <row r="15" spans="1:27" x14ac:dyDescent="0.3">
      <c r="A15" s="4">
        <v>10</v>
      </c>
      <c r="B15" s="11" t="s">
        <v>352</v>
      </c>
      <c r="C15" s="10"/>
      <c r="D15" s="11">
        <v>577</v>
      </c>
      <c r="E15" s="15"/>
      <c r="F15" s="115"/>
      <c r="G15" s="115"/>
      <c r="H15" s="110">
        <v>0</v>
      </c>
      <c r="I15" s="110">
        <f>VLOOKUP(G15,위치정보!$A$2:$B$236,2,)</f>
        <v>0</v>
      </c>
      <c r="J15" s="112"/>
      <c r="K15" s="112"/>
      <c r="L15" s="113"/>
      <c r="M15" s="113"/>
      <c r="N15" s="114"/>
      <c r="O15" s="118"/>
      <c r="P15" s="114"/>
      <c r="Q15" s="114"/>
      <c r="R15" s="16">
        <f t="shared" ref="R15:R25" si="4">D15</f>
        <v>577</v>
      </c>
      <c r="S15" s="16"/>
      <c r="T15" s="16"/>
      <c r="V15" s="7">
        <v>577.10091743119301</v>
      </c>
      <c r="W15" s="14">
        <v>10</v>
      </c>
      <c r="X15" s="142">
        <v>1272.0840000000001</v>
      </c>
      <c r="Y15" s="17">
        <f>V15+X15</f>
        <v>1849.1849174311931</v>
      </c>
    </row>
    <row r="16" spans="1:27" x14ac:dyDescent="0.3">
      <c r="A16" s="4">
        <v>11</v>
      </c>
      <c r="B16" s="11" t="s">
        <v>353</v>
      </c>
      <c r="C16" s="10"/>
      <c r="D16" s="11">
        <v>540</v>
      </c>
      <c r="E16" s="15"/>
      <c r="F16" s="115"/>
      <c r="G16" s="115"/>
      <c r="H16" s="110">
        <f>VLOOKUP(F16,위치정보!$A$2:$B$236,2,0)</f>
        <v>0</v>
      </c>
      <c r="I16" s="110">
        <f>VLOOKUP(G16,위치정보!$A$2:$B$236,2,)</f>
        <v>0</v>
      </c>
      <c r="J16" s="112"/>
      <c r="K16" s="112"/>
      <c r="L16" s="113"/>
      <c r="M16" s="113"/>
      <c r="N16" s="114"/>
      <c r="O16" s="118"/>
      <c r="P16" s="114"/>
      <c r="Q16" s="114"/>
      <c r="R16" s="16">
        <f t="shared" si="4"/>
        <v>540</v>
      </c>
      <c r="S16" s="16"/>
      <c r="T16" s="16"/>
      <c r="V16" s="7">
        <v>534.32844036697304</v>
      </c>
      <c r="W16" s="14">
        <v>11</v>
      </c>
      <c r="X16" s="142">
        <v>803.55</v>
      </c>
      <c r="Y16" s="17">
        <f>V16+X16+Y15</f>
        <v>3187.0633577981662</v>
      </c>
      <c r="Z16">
        <v>5.2750000000000004</v>
      </c>
      <c r="AA16" s="34">
        <f>Z16/9.81</f>
        <v>0.53771661569826712</v>
      </c>
    </row>
    <row r="17" spans="1:27" x14ac:dyDescent="0.3">
      <c r="A17" s="4">
        <v>12</v>
      </c>
      <c r="B17" s="11" t="s">
        <v>354</v>
      </c>
      <c r="C17" s="10"/>
      <c r="D17" s="11">
        <v>825</v>
      </c>
      <c r="E17" s="15"/>
      <c r="F17" s="115"/>
      <c r="G17" s="115"/>
      <c r="H17" s="110">
        <f>VLOOKUP(F17,위치정보!$A$2:$B$236,2,0)</f>
        <v>0</v>
      </c>
      <c r="I17" s="110">
        <f>VLOOKUP(G17,위치정보!$A$2:$B$236,2,)</f>
        <v>0</v>
      </c>
      <c r="J17" s="112"/>
      <c r="K17" s="112"/>
      <c r="L17" s="113"/>
      <c r="M17" s="113"/>
      <c r="N17" s="114"/>
      <c r="O17" s="118"/>
      <c r="P17" s="114"/>
      <c r="Q17" s="114"/>
      <c r="R17" s="16">
        <f t="shared" si="4"/>
        <v>825</v>
      </c>
      <c r="S17" s="16"/>
      <c r="T17" s="16"/>
      <c r="V17" s="7">
        <v>861.17951070336403</v>
      </c>
      <c r="W17" s="14">
        <v>12</v>
      </c>
      <c r="X17" s="142">
        <v>540.31999999999994</v>
      </c>
      <c r="Y17" s="17">
        <f t="shared" ref="Y16:Y21" si="5">V17+X17</f>
        <v>1401.499510703364</v>
      </c>
      <c r="Z17">
        <v>5.181</v>
      </c>
      <c r="AA17" s="34">
        <f t="shared" ref="AA17:AA21" si="6">Z17/9.81</f>
        <v>0.52813455657492347</v>
      </c>
    </row>
    <row r="18" spans="1:27" x14ac:dyDescent="0.3">
      <c r="A18" s="4">
        <v>13</v>
      </c>
      <c r="B18" s="11" t="s">
        <v>355</v>
      </c>
      <c r="C18" s="10"/>
      <c r="D18" s="11">
        <v>828</v>
      </c>
      <c r="E18" s="15"/>
      <c r="F18" s="115"/>
      <c r="G18" s="115"/>
      <c r="H18" s="110">
        <f>VLOOKUP(F18,위치정보!$A$2:$B$236,2,0)</f>
        <v>0</v>
      </c>
      <c r="I18" s="110">
        <f>VLOOKUP(G18,위치정보!$A$2:$B$236,2,)</f>
        <v>0</v>
      </c>
      <c r="J18" s="112"/>
      <c r="K18" s="112"/>
      <c r="L18" s="113"/>
      <c r="M18" s="113"/>
      <c r="N18" s="114"/>
      <c r="O18" s="118"/>
      <c r="P18" s="114"/>
      <c r="Q18" s="114"/>
      <c r="R18" s="16">
        <f t="shared" si="4"/>
        <v>828</v>
      </c>
      <c r="S18" s="16"/>
      <c r="T18" s="16"/>
      <c r="V18" s="7">
        <v>828</v>
      </c>
      <c r="W18" s="14">
        <v>13</v>
      </c>
      <c r="X18" s="142">
        <v>465.08000000000004</v>
      </c>
      <c r="Y18" s="17">
        <f t="shared" si="5"/>
        <v>1293.08</v>
      </c>
      <c r="Z18">
        <v>5.0750000000000002</v>
      </c>
      <c r="AA18" s="34">
        <f t="shared" si="6"/>
        <v>0.51732925586136591</v>
      </c>
    </row>
    <row r="19" spans="1:27" x14ac:dyDescent="0.3">
      <c r="A19" s="4">
        <v>14</v>
      </c>
      <c r="B19" s="11" t="s">
        <v>356</v>
      </c>
      <c r="C19" s="10"/>
      <c r="D19" s="11">
        <v>648</v>
      </c>
      <c r="E19" s="15"/>
      <c r="F19" s="115"/>
      <c r="G19" s="115"/>
      <c r="H19" s="110">
        <f>VLOOKUP(F19,위치정보!$A$2:$B$236,2,0)</f>
        <v>0</v>
      </c>
      <c r="I19" s="110">
        <f>VLOOKUP(G19,위치정보!$A$2:$B$236,2,)</f>
        <v>0</v>
      </c>
      <c r="J19" s="112"/>
      <c r="K19" s="112"/>
      <c r="L19" s="113"/>
      <c r="M19" s="113"/>
      <c r="N19" s="114"/>
      <c r="O19" s="118"/>
      <c r="P19" s="114"/>
      <c r="Q19" s="114"/>
      <c r="R19" s="16">
        <f t="shared" si="4"/>
        <v>648</v>
      </c>
      <c r="S19" s="16"/>
      <c r="T19" s="16"/>
      <c r="V19" s="7">
        <v>729.83537206931703</v>
      </c>
      <c r="W19" s="14">
        <v>14</v>
      </c>
      <c r="X19" s="142">
        <v>908.38</v>
      </c>
      <c r="Y19" s="17">
        <f t="shared" si="5"/>
        <v>1638.215372069317</v>
      </c>
      <c r="Z19">
        <v>4.97</v>
      </c>
      <c r="AA19" s="34">
        <f t="shared" si="6"/>
        <v>0.50662589194699281</v>
      </c>
    </row>
    <row r="20" spans="1:27" x14ac:dyDescent="0.3">
      <c r="A20" s="4">
        <v>15</v>
      </c>
      <c r="B20" s="11" t="s">
        <v>357</v>
      </c>
      <c r="C20" s="10"/>
      <c r="D20" s="11">
        <v>747</v>
      </c>
      <c r="E20" s="15"/>
      <c r="F20" s="115"/>
      <c r="G20" s="115"/>
      <c r="H20" s="110">
        <f>VLOOKUP(F20,위치정보!$A$2:$B$236,2,0)</f>
        <v>0</v>
      </c>
      <c r="I20" s="110">
        <f>VLOOKUP(G20,위치정보!$A$2:$B$236,2,)</f>
        <v>0</v>
      </c>
      <c r="J20" s="112"/>
      <c r="K20" s="112"/>
      <c r="L20" s="113"/>
      <c r="M20" s="113"/>
      <c r="N20" s="114"/>
      <c r="O20" s="118"/>
      <c r="P20" s="114"/>
      <c r="Q20" s="114"/>
      <c r="R20" s="16">
        <f t="shared" si="4"/>
        <v>747</v>
      </c>
      <c r="S20" s="16"/>
      <c r="T20" s="16"/>
      <c r="V20" s="7">
        <v>747.00020387359802</v>
      </c>
      <c r="W20" s="14">
        <v>15</v>
      </c>
      <c r="X20" s="142">
        <v>499.4</v>
      </c>
      <c r="Y20" s="17">
        <f t="shared" si="5"/>
        <v>1246.400203873598</v>
      </c>
      <c r="Z20">
        <v>4.8550000000000004</v>
      </c>
      <c r="AA20" s="34">
        <f t="shared" si="6"/>
        <v>0.49490316004077473</v>
      </c>
    </row>
    <row r="21" spans="1:27" x14ac:dyDescent="0.3">
      <c r="A21" s="4">
        <v>16</v>
      </c>
      <c r="B21" s="11" t="s">
        <v>358</v>
      </c>
      <c r="C21" s="10"/>
      <c r="D21" s="11">
        <v>707</v>
      </c>
      <c r="E21" s="15"/>
      <c r="F21" s="115"/>
      <c r="G21" s="115"/>
      <c r="H21" s="110">
        <f>VLOOKUP(F21,위치정보!$A$2:$B$236,2,0)</f>
        <v>0</v>
      </c>
      <c r="I21" s="110">
        <f>VLOOKUP(G21,위치정보!$A$2:$B$236,2,)</f>
        <v>0</v>
      </c>
      <c r="J21" s="112"/>
      <c r="K21" s="112"/>
      <c r="L21" s="113"/>
      <c r="M21" s="113"/>
      <c r="N21" s="114"/>
      <c r="O21" s="118"/>
      <c r="P21" s="114"/>
      <c r="Q21" s="114"/>
      <c r="R21" s="16">
        <f t="shared" si="4"/>
        <v>707</v>
      </c>
      <c r="S21" s="16"/>
      <c r="T21" s="16"/>
      <c r="V21" s="7">
        <v>747.31131498470995</v>
      </c>
      <c r="W21" s="14">
        <v>16</v>
      </c>
      <c r="X21" s="142">
        <v>1049.95</v>
      </c>
      <c r="Y21" s="17">
        <f t="shared" si="5"/>
        <v>1797.26131498471</v>
      </c>
      <c r="Z21">
        <v>4.72</v>
      </c>
      <c r="AA21" s="34">
        <f t="shared" si="6"/>
        <v>0.48114169215086644</v>
      </c>
    </row>
    <row r="22" spans="1:27" x14ac:dyDescent="0.3">
      <c r="A22" s="4">
        <v>17</v>
      </c>
      <c r="B22" s="11" t="s">
        <v>359</v>
      </c>
      <c r="C22" s="10"/>
      <c r="D22" s="11">
        <v>174</v>
      </c>
      <c r="E22" s="15"/>
      <c r="F22" s="115"/>
      <c r="G22" s="115"/>
      <c r="H22" s="110">
        <f>VLOOKUP(F22,위치정보!$A$2:$B$236,2,0)</f>
        <v>0</v>
      </c>
      <c r="I22" s="110">
        <f>VLOOKUP(G22,위치정보!$A$2:$B$236,2,)</f>
        <v>0</v>
      </c>
      <c r="J22" s="112"/>
      <c r="K22" s="112"/>
      <c r="L22" s="113"/>
      <c r="M22" s="113"/>
      <c r="N22" s="114"/>
      <c r="O22" s="118"/>
      <c r="P22" s="114"/>
      <c r="Q22" s="114"/>
      <c r="R22" s="16">
        <f t="shared" si="4"/>
        <v>174</v>
      </c>
      <c r="S22" s="16"/>
      <c r="T22" s="16"/>
      <c r="V22" s="7">
        <v>176.24627930682999</v>
      </c>
      <c r="W22" s="14">
        <v>17</v>
      </c>
    </row>
    <row r="23" spans="1:27" x14ac:dyDescent="0.3">
      <c r="A23" s="4">
        <v>18</v>
      </c>
      <c r="B23" s="11" t="s">
        <v>360</v>
      </c>
      <c r="C23" s="10"/>
      <c r="D23" s="11">
        <v>174</v>
      </c>
      <c r="E23" s="15"/>
      <c r="F23" s="115"/>
      <c r="G23" s="115"/>
      <c r="H23" s="110">
        <f>VLOOKUP(F23,위치정보!$A$2:$B$236,2,0)</f>
        <v>0</v>
      </c>
      <c r="I23" s="110">
        <f>VLOOKUP(G23,위치정보!$A$2:$B$236,2,)</f>
        <v>0</v>
      </c>
      <c r="J23" s="112"/>
      <c r="K23" s="112"/>
      <c r="L23" s="113"/>
      <c r="M23" s="113"/>
      <c r="N23" s="114"/>
      <c r="O23" s="118"/>
      <c r="P23" s="114"/>
      <c r="Q23" s="114"/>
      <c r="R23" s="16">
        <f t="shared" si="4"/>
        <v>174</v>
      </c>
      <c r="S23" s="16"/>
      <c r="T23" s="16"/>
      <c r="V23" s="7">
        <v>174.18888888888901</v>
      </c>
      <c r="W23" s="14">
        <v>18</v>
      </c>
    </row>
    <row r="24" spans="1:27" x14ac:dyDescent="0.3">
      <c r="A24" s="4">
        <v>19</v>
      </c>
      <c r="B24" s="11" t="s">
        <v>361</v>
      </c>
      <c r="C24" s="10"/>
      <c r="D24" s="11">
        <v>126</v>
      </c>
      <c r="E24" s="15"/>
      <c r="F24" s="115"/>
      <c r="G24" s="115"/>
      <c r="H24" s="110">
        <f>VLOOKUP(F24,위치정보!$A$2:$B$236,2,0)</f>
        <v>0</v>
      </c>
      <c r="I24" s="110">
        <f>VLOOKUP(G24,위치정보!$A$2:$B$236,2,)</f>
        <v>0</v>
      </c>
      <c r="J24" s="112"/>
      <c r="K24" s="112"/>
      <c r="L24" s="113"/>
      <c r="M24" s="113"/>
      <c r="N24" s="114"/>
      <c r="O24" s="118"/>
      <c r="P24" s="114"/>
      <c r="Q24" s="114"/>
      <c r="R24" s="16">
        <f t="shared" si="4"/>
        <v>126</v>
      </c>
      <c r="S24" s="16"/>
      <c r="T24" s="16"/>
      <c r="V24" s="7">
        <v>121.42680937818599</v>
      </c>
      <c r="W24" s="14">
        <v>19</v>
      </c>
    </row>
    <row r="25" spans="1:27" x14ac:dyDescent="0.3">
      <c r="A25" s="4">
        <v>20</v>
      </c>
      <c r="B25" s="11" t="s">
        <v>362</v>
      </c>
      <c r="C25" s="10"/>
      <c r="D25" s="11">
        <v>0</v>
      </c>
      <c r="E25" s="122">
        <f>SUM(D15:D25)</f>
        <v>5346</v>
      </c>
      <c r="F25" s="115"/>
      <c r="G25" s="115"/>
      <c r="H25" s="110">
        <f>VLOOKUP(F25,위치정보!$A$2:$B$236,2,0)</f>
        <v>0</v>
      </c>
      <c r="I25" s="110">
        <f>VLOOKUP(G25,위치정보!$A$2:$B$236,2,)</f>
        <v>0</v>
      </c>
      <c r="J25" s="112"/>
      <c r="K25" s="112"/>
      <c r="L25" s="113"/>
      <c r="M25" s="113"/>
      <c r="N25" s="114"/>
      <c r="O25" s="118"/>
      <c r="P25" s="114"/>
      <c r="Q25" s="114"/>
      <c r="R25" s="16">
        <f t="shared" si="4"/>
        <v>0</v>
      </c>
      <c r="S25" s="16"/>
      <c r="T25" s="16"/>
      <c r="V25" s="7"/>
      <c r="W25" s="14">
        <v>20</v>
      </c>
    </row>
    <row r="26" spans="1:27" x14ac:dyDescent="0.3">
      <c r="A26" s="4">
        <v>21</v>
      </c>
      <c r="B26" s="11" t="s">
        <v>363</v>
      </c>
      <c r="C26" s="10" t="s">
        <v>364</v>
      </c>
      <c r="D26" s="11">
        <v>132</v>
      </c>
      <c r="E26" s="15"/>
      <c r="F26" s="115">
        <v>181</v>
      </c>
      <c r="G26" s="115">
        <v>189</v>
      </c>
      <c r="H26" s="110">
        <f>VLOOKUP(F26,위치정보!$A$2:$B$236,2,0)</f>
        <v>146620</v>
      </c>
      <c r="I26" s="110">
        <f>VLOOKUP(G26,위치정보!$A$2:$B$236,2,)</f>
        <v>153180</v>
      </c>
      <c r="J26" s="116">
        <v>-30200</v>
      </c>
      <c r="K26" s="116">
        <v>30200</v>
      </c>
      <c r="L26" s="124">
        <v>0</v>
      </c>
      <c r="M26" s="124">
        <v>4920</v>
      </c>
      <c r="N26" s="123">
        <v>129.06</v>
      </c>
      <c r="O26" s="118">
        <f t="shared" ref="O26:O34" si="7">N26*P26</f>
        <v>132.28649999999999</v>
      </c>
      <c r="P26" s="114">
        <v>1.0249999999999999</v>
      </c>
      <c r="Q26" s="125">
        <v>1</v>
      </c>
      <c r="R26" s="16">
        <f t="shared" ref="R26:R34" si="8">O26*Q26</f>
        <v>132.28649999999999</v>
      </c>
      <c r="S26" s="120">
        <f t="shared" ref="S26:S34" si="9">(M26-L26)/1000</f>
        <v>4.92</v>
      </c>
      <c r="T26" s="121">
        <f t="shared" ref="T26:T34" si="10">S26*P26*9.81/1000</f>
        <v>4.9471829999999994E-2</v>
      </c>
      <c r="V26" s="7">
        <v>132.42324159021399</v>
      </c>
      <c r="W26" s="14">
        <v>21</v>
      </c>
    </row>
    <row r="27" spans="1:27" x14ac:dyDescent="0.3">
      <c r="A27" s="4">
        <v>22</v>
      </c>
      <c r="B27" s="11" t="s">
        <v>365</v>
      </c>
      <c r="C27" s="10" t="s">
        <v>364</v>
      </c>
      <c r="D27" s="11">
        <v>656</v>
      </c>
      <c r="E27" s="15"/>
      <c r="F27" s="115">
        <v>145</v>
      </c>
      <c r="G27" s="115">
        <v>157</v>
      </c>
      <c r="H27" s="110">
        <f>VLOOKUP(F27,위치정보!$A$2:$B$236,2,0)</f>
        <v>117100</v>
      </c>
      <c r="I27" s="110">
        <f>VLOOKUP(G27,위치정보!$A$2:$B$236,2,)</f>
        <v>126940</v>
      </c>
      <c r="J27" s="116">
        <v>-30200</v>
      </c>
      <c r="K27" s="116">
        <v>30200</v>
      </c>
      <c r="L27" s="124">
        <v>0</v>
      </c>
      <c r="M27" s="124">
        <v>7810</v>
      </c>
      <c r="N27" s="123">
        <v>640.14</v>
      </c>
      <c r="O27" s="118">
        <f t="shared" si="7"/>
        <v>656.1434999999999</v>
      </c>
      <c r="P27" s="114">
        <v>1.0249999999999999</v>
      </c>
      <c r="Q27" s="125">
        <v>1</v>
      </c>
      <c r="R27" s="16">
        <f t="shared" si="8"/>
        <v>656.1434999999999</v>
      </c>
      <c r="S27" s="120">
        <f t="shared" si="9"/>
        <v>7.81</v>
      </c>
      <c r="T27" s="121">
        <f t="shared" si="10"/>
        <v>7.8531502499999989E-2</v>
      </c>
      <c r="V27" s="7">
        <v>675.96941896024498</v>
      </c>
      <c r="W27" s="14">
        <v>22</v>
      </c>
    </row>
    <row r="28" spans="1:27" x14ac:dyDescent="0.3">
      <c r="A28" s="4">
        <v>23</v>
      </c>
      <c r="B28" s="11" t="s">
        <v>366</v>
      </c>
      <c r="C28" s="10" t="s">
        <v>115</v>
      </c>
      <c r="D28" s="11">
        <v>280</v>
      </c>
      <c r="E28" s="15"/>
      <c r="F28" s="115">
        <v>97</v>
      </c>
      <c r="G28" s="115">
        <v>121</v>
      </c>
      <c r="H28" s="110">
        <f>VLOOKUP(F28,위치정보!$A$2:$B$236,2,0)</f>
        <v>77740</v>
      </c>
      <c r="I28" s="110">
        <f>VLOOKUP(G28,위치정보!$A$2:$B$236,2,)</f>
        <v>97420</v>
      </c>
      <c r="J28" s="116">
        <f>820*9</f>
        <v>7380</v>
      </c>
      <c r="K28" s="116">
        <v>30200</v>
      </c>
      <c r="L28" s="124">
        <v>0</v>
      </c>
      <c r="M28" s="124">
        <v>4920</v>
      </c>
      <c r="N28" s="123">
        <v>538.09</v>
      </c>
      <c r="O28" s="118">
        <f t="shared" si="7"/>
        <v>551.54224999999997</v>
      </c>
      <c r="P28" s="114">
        <v>1.0249999999999999</v>
      </c>
      <c r="Q28" s="125">
        <v>0.51</v>
      </c>
      <c r="R28" s="16">
        <f t="shared" si="8"/>
        <v>281.28654749999998</v>
      </c>
      <c r="S28" s="120">
        <f t="shared" si="9"/>
        <v>4.92</v>
      </c>
      <c r="T28" s="121">
        <f t="shared" si="10"/>
        <v>4.9471829999999994E-2</v>
      </c>
      <c r="V28" s="7">
        <v>335.27461773700298</v>
      </c>
      <c r="W28" s="14">
        <v>23</v>
      </c>
    </row>
    <row r="29" spans="1:27" x14ac:dyDescent="0.3">
      <c r="A29" s="4">
        <v>24</v>
      </c>
      <c r="B29" s="11" t="s">
        <v>366</v>
      </c>
      <c r="C29" s="10" t="s">
        <v>348</v>
      </c>
      <c r="D29" s="11">
        <v>280</v>
      </c>
      <c r="E29" s="15"/>
      <c r="F29" s="115">
        <v>97</v>
      </c>
      <c r="G29" s="115">
        <v>121</v>
      </c>
      <c r="H29" s="110">
        <f>VLOOKUP(F29,위치정보!$A$2:$B$236,2,0)</f>
        <v>77740</v>
      </c>
      <c r="I29" s="110">
        <f>VLOOKUP(G29,위치정보!$A$2:$B$236,2,)</f>
        <v>97420</v>
      </c>
      <c r="J29" s="116">
        <f>-820*9</f>
        <v>-7380</v>
      </c>
      <c r="K29" s="116">
        <v>-30200</v>
      </c>
      <c r="L29" s="124">
        <v>0</v>
      </c>
      <c r="M29" s="124">
        <v>4920</v>
      </c>
      <c r="N29" s="123">
        <v>504.78</v>
      </c>
      <c r="O29" s="118">
        <f t="shared" si="7"/>
        <v>517.39949999999988</v>
      </c>
      <c r="P29" s="114">
        <v>1.0249999999999999</v>
      </c>
      <c r="Q29" s="125">
        <v>0.54</v>
      </c>
      <c r="R29" s="16">
        <f t="shared" si="8"/>
        <v>279.39572999999996</v>
      </c>
      <c r="S29" s="120">
        <f t="shared" si="9"/>
        <v>4.92</v>
      </c>
      <c r="T29" s="121">
        <f t="shared" si="10"/>
        <v>4.9471829999999994E-2</v>
      </c>
      <c r="V29" s="7">
        <v>302.39459734964299</v>
      </c>
      <c r="W29" s="14">
        <v>24</v>
      </c>
    </row>
    <row r="30" spans="1:27" x14ac:dyDescent="0.3">
      <c r="A30" s="4">
        <v>25</v>
      </c>
      <c r="B30" s="11" t="s">
        <v>367</v>
      </c>
      <c r="C30" s="10" t="s">
        <v>115</v>
      </c>
      <c r="D30" s="11">
        <v>557</v>
      </c>
      <c r="E30" s="15"/>
      <c r="F30" s="115">
        <v>73</v>
      </c>
      <c r="G30" s="115">
        <v>97</v>
      </c>
      <c r="H30" s="110">
        <f>VLOOKUP(F30,위치정보!$A$2:$B$236,2,0)</f>
        <v>58060</v>
      </c>
      <c r="I30" s="110">
        <f>VLOOKUP(G30,위치정보!$A$2:$B$236,2,)</f>
        <v>77740</v>
      </c>
      <c r="J30" s="116">
        <v>5740</v>
      </c>
      <c r="K30" s="116">
        <v>30200</v>
      </c>
      <c r="L30" s="124">
        <v>0</v>
      </c>
      <c r="M30" s="124">
        <v>4920</v>
      </c>
      <c r="N30" s="123">
        <v>652.05999999999995</v>
      </c>
      <c r="O30" s="118">
        <f t="shared" si="7"/>
        <v>668.36149999999986</v>
      </c>
      <c r="P30" s="114">
        <v>1.0249999999999999</v>
      </c>
      <c r="Q30" s="125">
        <v>0.83</v>
      </c>
      <c r="R30" s="16">
        <f t="shared" si="8"/>
        <v>554.7400449999999</v>
      </c>
      <c r="S30" s="120">
        <f t="shared" si="9"/>
        <v>4.92</v>
      </c>
      <c r="T30" s="121">
        <f t="shared" si="10"/>
        <v>4.9471829999999994E-2</v>
      </c>
      <c r="V30" s="7">
        <v>563.30846075433203</v>
      </c>
      <c r="W30" s="14">
        <v>25</v>
      </c>
    </row>
    <row r="31" spans="1:27" x14ac:dyDescent="0.3">
      <c r="A31" s="4">
        <v>26</v>
      </c>
      <c r="B31" s="11" t="s">
        <v>367</v>
      </c>
      <c r="C31" s="10" t="s">
        <v>348</v>
      </c>
      <c r="D31" s="11">
        <v>556</v>
      </c>
      <c r="E31" s="15"/>
      <c r="F31" s="115">
        <v>73</v>
      </c>
      <c r="G31" s="115">
        <v>97</v>
      </c>
      <c r="H31" s="110">
        <f>VLOOKUP(F31,위치정보!$A$2:$B$236,2,0)</f>
        <v>58060</v>
      </c>
      <c r="I31" s="110">
        <f>VLOOKUP(G31,위치정보!$A$2:$B$236,2,)</f>
        <v>77740</v>
      </c>
      <c r="J31" s="116">
        <f>-820*7</f>
        <v>-5740</v>
      </c>
      <c r="K31" s="116">
        <v>-30200</v>
      </c>
      <c r="L31" s="124">
        <v>0</v>
      </c>
      <c r="M31" s="124">
        <v>4920</v>
      </c>
      <c r="N31" s="123">
        <v>648.32000000000005</v>
      </c>
      <c r="O31" s="118">
        <f t="shared" si="7"/>
        <v>664.52800000000002</v>
      </c>
      <c r="P31" s="114">
        <v>1.0249999999999999</v>
      </c>
      <c r="Q31" s="125">
        <v>0.84</v>
      </c>
      <c r="R31" s="16">
        <f t="shared" si="8"/>
        <v>558.20352000000003</v>
      </c>
      <c r="S31" s="120">
        <f t="shared" si="9"/>
        <v>4.92</v>
      </c>
      <c r="T31" s="121">
        <f t="shared" si="10"/>
        <v>4.9471829999999994E-2</v>
      </c>
      <c r="V31" s="7">
        <v>570.11314984709497</v>
      </c>
      <c r="W31" s="14">
        <v>26</v>
      </c>
    </row>
    <row r="32" spans="1:27" x14ac:dyDescent="0.3">
      <c r="A32" s="4">
        <v>27</v>
      </c>
      <c r="B32" s="11" t="s">
        <v>368</v>
      </c>
      <c r="C32" s="10" t="s">
        <v>115</v>
      </c>
      <c r="D32" s="11">
        <v>386</v>
      </c>
      <c r="E32" s="15"/>
      <c r="F32" s="115">
        <v>113</v>
      </c>
      <c r="G32" s="115">
        <v>145</v>
      </c>
      <c r="H32" s="110">
        <f>VLOOKUP(F32,위치정보!$A$2:$B$236,2,0)</f>
        <v>90860</v>
      </c>
      <c r="I32" s="110">
        <f>VLOOKUP(G32,위치정보!$A$2:$B$236,2,)</f>
        <v>117100</v>
      </c>
      <c r="J32" s="116">
        <v>0</v>
      </c>
      <c r="K32" s="116">
        <v>8200</v>
      </c>
      <c r="L32" s="124">
        <v>0</v>
      </c>
      <c r="M32" s="124">
        <v>2100</v>
      </c>
      <c r="N32" s="123">
        <v>376.45</v>
      </c>
      <c r="O32" s="118">
        <f t="shared" si="7"/>
        <v>385.86124999999993</v>
      </c>
      <c r="P32" s="114">
        <v>1.0249999999999999</v>
      </c>
      <c r="Q32" s="125">
        <v>1</v>
      </c>
      <c r="R32" s="16">
        <f t="shared" si="8"/>
        <v>385.86124999999993</v>
      </c>
      <c r="S32" s="120">
        <f t="shared" si="9"/>
        <v>2.1</v>
      </c>
      <c r="T32" s="121">
        <f t="shared" si="10"/>
        <v>2.1116025E-2</v>
      </c>
      <c r="V32" s="7">
        <v>392.497247706422</v>
      </c>
      <c r="W32" s="14">
        <v>27</v>
      </c>
    </row>
    <row r="33" spans="1:23" x14ac:dyDescent="0.3">
      <c r="A33" s="4">
        <v>28</v>
      </c>
      <c r="B33" s="11" t="s">
        <v>368</v>
      </c>
      <c r="C33" s="10" t="s">
        <v>348</v>
      </c>
      <c r="D33" s="11">
        <v>386</v>
      </c>
      <c r="E33" s="15"/>
      <c r="F33" s="115">
        <v>113</v>
      </c>
      <c r="G33" s="115">
        <v>145</v>
      </c>
      <c r="H33" s="110">
        <f>VLOOKUP(F33,위치정보!$A$2:$B$236,2,0)</f>
        <v>90860</v>
      </c>
      <c r="I33" s="110">
        <f>VLOOKUP(G33,위치정보!$A$2:$B$236,2,)</f>
        <v>117100</v>
      </c>
      <c r="J33" s="116">
        <v>0</v>
      </c>
      <c r="K33" s="116">
        <v>-8200</v>
      </c>
      <c r="L33" s="124">
        <v>0</v>
      </c>
      <c r="M33" s="124">
        <v>2100</v>
      </c>
      <c r="N33" s="123">
        <v>376.22</v>
      </c>
      <c r="O33" s="118">
        <f t="shared" si="7"/>
        <v>385.62549999999999</v>
      </c>
      <c r="P33" s="114">
        <v>1.0249999999999999</v>
      </c>
      <c r="Q33" s="125">
        <v>1</v>
      </c>
      <c r="R33" s="16">
        <f t="shared" si="8"/>
        <v>385.62549999999999</v>
      </c>
      <c r="S33" s="120">
        <f t="shared" si="9"/>
        <v>2.1</v>
      </c>
      <c r="T33" s="121">
        <f t="shared" si="10"/>
        <v>2.1116025E-2</v>
      </c>
      <c r="V33" s="7">
        <v>392.49582059123298</v>
      </c>
      <c r="W33" s="14">
        <v>28</v>
      </c>
    </row>
    <row r="34" spans="1:23" x14ac:dyDescent="0.3">
      <c r="A34" s="4">
        <v>29</v>
      </c>
      <c r="B34" s="11" t="s">
        <v>369</v>
      </c>
      <c r="C34" s="10" t="s">
        <v>364</v>
      </c>
      <c r="D34" s="11">
        <v>1417</v>
      </c>
      <c r="E34" s="15"/>
      <c r="F34" s="115">
        <v>47</v>
      </c>
      <c r="G34" s="115">
        <v>113</v>
      </c>
      <c r="H34" s="110">
        <f>VLOOKUP(F34,위치정보!$A$2:$B$236,2,0)</f>
        <v>36740</v>
      </c>
      <c r="I34" s="110">
        <f>VLOOKUP(G34,위치정보!$A$2:$B$236,2,)</f>
        <v>90860</v>
      </c>
      <c r="J34" s="116">
        <v>-8200</v>
      </c>
      <c r="K34" s="116">
        <v>8200</v>
      </c>
      <c r="L34" s="124">
        <v>0</v>
      </c>
      <c r="M34" s="124">
        <v>2100</v>
      </c>
      <c r="N34" s="123">
        <v>1382.8</v>
      </c>
      <c r="O34" s="118">
        <f t="shared" si="7"/>
        <v>1417.37</v>
      </c>
      <c r="P34" s="114">
        <v>1.0249999999999999</v>
      </c>
      <c r="Q34" s="125">
        <v>1</v>
      </c>
      <c r="R34" s="16">
        <f t="shared" si="8"/>
        <v>1417.37</v>
      </c>
      <c r="S34" s="120">
        <f t="shared" si="9"/>
        <v>2.1</v>
      </c>
      <c r="T34" s="121">
        <f t="shared" si="10"/>
        <v>2.1116025E-2</v>
      </c>
      <c r="V34" s="7">
        <v>1442.3781855249699</v>
      </c>
      <c r="W34" s="14">
        <v>29</v>
      </c>
    </row>
    <row r="35" spans="1:23" x14ac:dyDescent="0.3">
      <c r="B35" s="11"/>
      <c r="C35" s="10"/>
      <c r="D35" s="11">
        <f>SUM(D5:D34)</f>
        <v>12806</v>
      </c>
      <c r="E35" s="15"/>
      <c r="F35" s="115"/>
      <c r="G35" s="115"/>
      <c r="H35" s="110"/>
      <c r="I35" s="110"/>
      <c r="J35" s="116"/>
      <c r="K35" s="116"/>
      <c r="L35" s="124"/>
      <c r="M35" s="124"/>
      <c r="N35" s="123"/>
      <c r="O35" s="123"/>
      <c r="P35" s="114"/>
      <c r="Q35" s="125"/>
      <c r="R35" s="16"/>
      <c r="S35" s="126"/>
      <c r="T35" s="127"/>
      <c r="V35" s="7"/>
      <c r="W35" s="14"/>
    </row>
    <row r="36" spans="1:23" x14ac:dyDescent="0.3">
      <c r="B36" s="11" t="s">
        <v>370</v>
      </c>
      <c r="C36" s="10"/>
      <c r="D36" s="128">
        <f>SUM(D5:D34)</f>
        <v>12806</v>
      </c>
      <c r="E36" s="128">
        <f>SUM(E5:E34)</f>
        <v>7921</v>
      </c>
      <c r="F36" s="128"/>
      <c r="G36" s="128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28">
        <f>SUM(R5:R34)</f>
        <v>12571.887312499999</v>
      </c>
      <c r="S36" s="129"/>
      <c r="T36" s="129"/>
      <c r="V36" s="136">
        <f>SUM(V5:V34)</f>
        <v>12733.121131498468</v>
      </c>
      <c r="W36" s="14"/>
    </row>
    <row r="37" spans="1:23" x14ac:dyDescent="0.3">
      <c r="V37" s="7"/>
      <c r="W37" s="14"/>
    </row>
    <row r="38" spans="1:23" x14ac:dyDescent="0.3">
      <c r="A38" s="4">
        <v>1</v>
      </c>
      <c r="B38" s="11" t="s">
        <v>371</v>
      </c>
      <c r="C38" s="10"/>
      <c r="D38" s="107">
        <v>12983</v>
      </c>
      <c r="E38" s="108"/>
      <c r="F38" s="109"/>
      <c r="G38" s="109"/>
      <c r="H38" s="110"/>
      <c r="I38" s="110"/>
      <c r="J38" s="112"/>
      <c r="K38" s="112"/>
      <c r="L38" s="113"/>
      <c r="M38" s="113"/>
      <c r="N38" s="114"/>
      <c r="O38" s="114"/>
      <c r="P38" s="114"/>
      <c r="Q38" s="114"/>
      <c r="R38" s="114"/>
      <c r="S38" s="114"/>
      <c r="T38" s="114"/>
      <c r="V38" s="7">
        <v>-25775.596330275199</v>
      </c>
      <c r="W38" s="14">
        <v>31</v>
      </c>
    </row>
    <row r="39" spans="1:23" x14ac:dyDescent="0.3">
      <c r="B39" s="130" t="s">
        <v>372</v>
      </c>
      <c r="D39" s="4">
        <v>7846</v>
      </c>
      <c r="V39" s="7">
        <v>9810</v>
      </c>
      <c r="W39" s="14">
        <v>30</v>
      </c>
    </row>
    <row r="40" spans="1:23" x14ac:dyDescent="0.3">
      <c r="B40" s="130" t="s">
        <v>373</v>
      </c>
      <c r="D40" s="4">
        <v>422.8</v>
      </c>
      <c r="V40" s="7">
        <v>422.8</v>
      </c>
      <c r="W40" s="14">
        <v>33</v>
      </c>
    </row>
    <row r="41" spans="1:23" x14ac:dyDescent="0.3">
      <c r="B41" s="130" t="s">
        <v>374</v>
      </c>
      <c r="D41" s="4">
        <v>454</v>
      </c>
      <c r="E41" s="4"/>
      <c r="V41" s="7">
        <v>454.00020387359802</v>
      </c>
      <c r="W41" s="14">
        <v>32</v>
      </c>
    </row>
    <row r="42" spans="1:23" x14ac:dyDescent="0.3">
      <c r="B42" s="51" t="s">
        <v>16</v>
      </c>
      <c r="D42" s="40">
        <v>1156</v>
      </c>
      <c r="V42" s="7">
        <v>1300.00203873598</v>
      </c>
      <c r="W42" s="14">
        <v>34</v>
      </c>
    </row>
    <row r="43" spans="1:23" x14ac:dyDescent="0.3">
      <c r="B43" s="51" t="s">
        <v>432</v>
      </c>
      <c r="C43" s="138" t="s">
        <v>433</v>
      </c>
      <c r="D43" s="137">
        <v>300</v>
      </c>
      <c r="U43">
        <v>0</v>
      </c>
      <c r="V43" s="7">
        <v>300</v>
      </c>
    </row>
    <row r="44" spans="1:23" x14ac:dyDescent="0.3">
      <c r="B44" s="51" t="s">
        <v>434</v>
      </c>
      <c r="C44" s="138"/>
      <c r="D44" s="8">
        <v>37.4</v>
      </c>
      <c r="V44" s="7">
        <v>37.4</v>
      </c>
      <c r="W44" s="7">
        <f>D38-V46</f>
        <v>658.7977573904227</v>
      </c>
    </row>
    <row r="45" spans="1:23" x14ac:dyDescent="0.3">
      <c r="C45" s="138"/>
      <c r="D45" s="8"/>
    </row>
    <row r="46" spans="1:23" x14ac:dyDescent="0.3">
      <c r="C46" s="138"/>
      <c r="D46" s="8"/>
      <c r="V46" s="7">
        <f>SUM(V39:V45)</f>
        <v>12324.202242609577</v>
      </c>
    </row>
    <row r="47" spans="1:23" x14ac:dyDescent="0.3">
      <c r="B47" s="140">
        <v>9818.9560000000001</v>
      </c>
      <c r="D47" s="33">
        <v>9.7520000000000007</v>
      </c>
      <c r="V47" s="7">
        <f>V36+V46</f>
        <v>25057.323374108048</v>
      </c>
    </row>
    <row r="48" spans="1:23" x14ac:dyDescent="0.3">
      <c r="B48" s="7">
        <f>B47-B49</f>
        <v>9809.118432212028</v>
      </c>
      <c r="D48" s="141">
        <f>B48*D47/B47</f>
        <v>9.7422295151268319</v>
      </c>
      <c r="V48" s="7">
        <f>V38+V47</f>
        <v>-718.27295616715128</v>
      </c>
    </row>
    <row r="49" spans="2:6" x14ac:dyDescent="0.3">
      <c r="B49" s="7">
        <f>96506.54/9810</f>
        <v>9.8375677879714569</v>
      </c>
      <c r="D49" s="140">
        <v>9.7520000000000007</v>
      </c>
    </row>
    <row r="50" spans="2:6" x14ac:dyDescent="0.3">
      <c r="B50" s="17">
        <v>0</v>
      </c>
      <c r="D50">
        <f>B50*D49/B49</f>
        <v>0</v>
      </c>
    </row>
    <row r="52" spans="2:6" x14ac:dyDescent="0.3">
      <c r="B52" s="7"/>
    </row>
    <row r="53" spans="2:6" x14ac:dyDescent="0.3">
      <c r="B53" s="55" t="s">
        <v>237</v>
      </c>
      <c r="C53" s="55" t="s">
        <v>238</v>
      </c>
      <c r="D53" s="55" t="s">
        <v>239</v>
      </c>
    </row>
    <row r="54" spans="2:6" x14ac:dyDescent="0.3">
      <c r="B54" s="32" t="s">
        <v>317</v>
      </c>
      <c r="C54" s="56">
        <v>35.94</v>
      </c>
      <c r="D54" s="84">
        <v>0</v>
      </c>
      <c r="E54">
        <f>D54*10%</f>
        <v>0</v>
      </c>
    </row>
    <row r="55" spans="2:6" x14ac:dyDescent="0.3">
      <c r="B55" s="32" t="s">
        <v>316</v>
      </c>
      <c r="C55" s="56">
        <v>33.340000000000003</v>
      </c>
      <c r="D55" s="84">
        <v>0</v>
      </c>
      <c r="E55" s="14">
        <f t="shared" ref="E55:E66" si="11">D55*10%</f>
        <v>0</v>
      </c>
    </row>
    <row r="56" spans="2:6" x14ac:dyDescent="0.3">
      <c r="B56" s="10" t="s">
        <v>315</v>
      </c>
      <c r="C56" s="56">
        <v>31.07</v>
      </c>
      <c r="D56" s="22">
        <v>1156.44</v>
      </c>
      <c r="E56" s="14">
        <f>D56*10%</f>
        <v>115.64400000000001</v>
      </c>
      <c r="F56" s="142">
        <f>D56+E56</f>
        <v>1272.0840000000001</v>
      </c>
    </row>
    <row r="57" spans="2:6" x14ac:dyDescent="0.3">
      <c r="B57" s="10" t="s">
        <v>252</v>
      </c>
      <c r="C57" s="56">
        <v>28.8</v>
      </c>
      <c r="D57" s="22">
        <v>730.5</v>
      </c>
      <c r="E57" s="14">
        <f t="shared" si="11"/>
        <v>73.05</v>
      </c>
      <c r="F57" s="142">
        <f t="shared" ref="F57:F65" si="12">D57+E57</f>
        <v>803.55</v>
      </c>
    </row>
    <row r="58" spans="2:6" x14ac:dyDescent="0.3">
      <c r="B58" s="10" t="s">
        <v>250</v>
      </c>
      <c r="C58" s="56">
        <v>26.4</v>
      </c>
      <c r="D58" s="22">
        <v>491.2</v>
      </c>
      <c r="E58" s="14">
        <f t="shared" si="11"/>
        <v>49.120000000000005</v>
      </c>
      <c r="F58" s="142">
        <f t="shared" si="12"/>
        <v>540.31999999999994</v>
      </c>
    </row>
    <row r="59" spans="2:6" x14ac:dyDescent="0.3">
      <c r="B59" s="10" t="s">
        <v>248</v>
      </c>
      <c r="C59" s="56">
        <v>23.68</v>
      </c>
      <c r="D59" s="22">
        <v>422.8</v>
      </c>
      <c r="E59" s="14">
        <f t="shared" si="11"/>
        <v>42.28</v>
      </c>
      <c r="F59" s="142">
        <f t="shared" si="12"/>
        <v>465.08000000000004</v>
      </c>
    </row>
    <row r="60" spans="2:6" x14ac:dyDescent="0.3">
      <c r="B60" s="10" t="s">
        <v>245</v>
      </c>
      <c r="C60" s="56">
        <v>20.94</v>
      </c>
      <c r="D60" s="22">
        <v>825.8</v>
      </c>
      <c r="E60" s="14">
        <f t="shared" si="11"/>
        <v>82.58</v>
      </c>
      <c r="F60" s="142">
        <f t="shared" si="12"/>
        <v>908.38</v>
      </c>
    </row>
    <row r="61" spans="2:6" x14ac:dyDescent="0.3">
      <c r="B61" s="10" t="s">
        <v>242</v>
      </c>
      <c r="C61" s="56">
        <v>17.945</v>
      </c>
      <c r="D61" s="99">
        <v>454</v>
      </c>
      <c r="E61" s="14">
        <f t="shared" si="11"/>
        <v>45.400000000000006</v>
      </c>
      <c r="F61" s="142">
        <f t="shared" si="12"/>
        <v>499.4</v>
      </c>
    </row>
    <row r="62" spans="2:6" x14ac:dyDescent="0.3">
      <c r="B62" s="10" t="s">
        <v>314</v>
      </c>
      <c r="C62" s="56">
        <v>14.4</v>
      </c>
      <c r="D62" s="10">
        <v>954.5</v>
      </c>
      <c r="E62" s="14">
        <f t="shared" si="11"/>
        <v>95.45</v>
      </c>
      <c r="F62" s="142">
        <f t="shared" si="12"/>
        <v>1049.95</v>
      </c>
    </row>
    <row r="63" spans="2:6" x14ac:dyDescent="0.3">
      <c r="B63" s="10" t="s">
        <v>313</v>
      </c>
      <c r="C63" s="56">
        <v>10.75</v>
      </c>
      <c r="D63" s="10">
        <v>598.5</v>
      </c>
      <c r="E63" s="14">
        <f>D63*10%</f>
        <v>59.85</v>
      </c>
      <c r="F63" s="142"/>
    </row>
    <row r="64" spans="2:6" x14ac:dyDescent="0.3">
      <c r="B64" s="10" t="s">
        <v>312</v>
      </c>
      <c r="C64" s="56">
        <v>7.81</v>
      </c>
      <c r="D64" s="10">
        <v>387.3</v>
      </c>
      <c r="E64" s="14">
        <f>D64*10%</f>
        <v>38.730000000000004</v>
      </c>
      <c r="F64" s="142"/>
    </row>
    <row r="65" spans="2:6" x14ac:dyDescent="0.3">
      <c r="B65" s="10" t="s">
        <v>311</v>
      </c>
      <c r="C65" s="56">
        <v>4.92</v>
      </c>
      <c r="D65" s="10">
        <v>339.2</v>
      </c>
      <c r="E65" s="14">
        <f>D65*10%</f>
        <v>33.92</v>
      </c>
      <c r="F65" s="142"/>
    </row>
    <row r="66" spans="2:6" x14ac:dyDescent="0.3">
      <c r="B66" s="10" t="s">
        <v>310</v>
      </c>
      <c r="C66" s="56">
        <v>2.1</v>
      </c>
      <c r="D66" s="10">
        <v>0</v>
      </c>
      <c r="E66" s="14">
        <f>D66*10%</f>
        <v>0</v>
      </c>
    </row>
    <row r="67" spans="2:6" x14ac:dyDescent="0.3">
      <c r="B67" s="55" t="s">
        <v>255</v>
      </c>
      <c r="C67" s="55"/>
      <c r="D67" s="139">
        <f>SUM(D54:D66)</f>
        <v>6360.24</v>
      </c>
      <c r="E67" s="139">
        <f>SUM(E54:E66)</f>
        <v>636.024</v>
      </c>
    </row>
  </sheetData>
  <phoneticPr fontId="1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36"/>
  <sheetViews>
    <sheetView zoomScaleNormal="100" workbookViewId="0">
      <selection activeCell="F43" sqref="F43"/>
    </sheetView>
  </sheetViews>
  <sheetFormatPr defaultRowHeight="16.5" x14ac:dyDescent="0.3"/>
  <cols>
    <col min="1" max="5" width="8.625" customWidth="1"/>
    <col min="6" max="6" width="85.125" customWidth="1"/>
    <col min="7" max="10" width="8.625" customWidth="1"/>
    <col min="11" max="11" width="10.25" customWidth="1"/>
    <col min="12" max="1025" width="8.625" customWidth="1"/>
  </cols>
  <sheetData>
    <row r="1" spans="1:17" x14ac:dyDescent="0.3">
      <c r="A1" s="89" t="s">
        <v>375</v>
      </c>
      <c r="D1" t="s">
        <v>376</v>
      </c>
      <c r="F1" t="s">
        <v>377</v>
      </c>
      <c r="L1" s="4" t="s">
        <v>378</v>
      </c>
      <c r="N1" s="4" t="s">
        <v>379</v>
      </c>
      <c r="Q1" s="4" t="s">
        <v>380</v>
      </c>
    </row>
    <row r="2" spans="1:17" x14ac:dyDescent="0.3">
      <c r="A2" s="49">
        <v>-11</v>
      </c>
      <c r="B2" s="49">
        <f>B4-700</f>
        <v>-7700</v>
      </c>
      <c r="D2">
        <v>1</v>
      </c>
      <c r="E2">
        <f t="shared" ref="E2:E33" si="0">VLOOKUP(D2,$A$2:$B$236,2,0)</f>
        <v>700</v>
      </c>
      <c r="F2" t="str">
        <f t="shared" ref="F2:F33" si="1">"sgm_const_plane_point_vector("&amp;""""&amp;D2&amp;""""&amp;","&amp;"""["&amp;E2&amp;",0,0]"""&amp;","&amp;"""&lt;1,0,0&gt;"""&amp;","&amp;"sgm_create_plane_po_created_ids )"</f>
        <v>sgm_const_plane_point_vector("1","[700,0,0]","&lt;1,0,0&gt;",sgm_create_plane_po_created_ids )</v>
      </c>
      <c r="K2" s="4" t="s">
        <v>381</v>
      </c>
      <c r="L2" s="4">
        <v>2600</v>
      </c>
      <c r="M2">
        <f>SUM($L2:L$15)</f>
        <v>35940</v>
      </c>
      <c r="N2" s="4">
        <v>2600</v>
      </c>
      <c r="O2">
        <f>SUM($N2:N$15)</f>
        <v>36040</v>
      </c>
      <c r="Q2">
        <f t="shared" ref="Q2:Q15" si="2">-M2+O2</f>
        <v>100</v>
      </c>
    </row>
    <row r="3" spans="1:17" x14ac:dyDescent="0.3">
      <c r="A3" s="131">
        <f>A4+(B3-B4)/700</f>
        <v>-10.642857142857142</v>
      </c>
      <c r="B3" s="49">
        <v>-7450</v>
      </c>
      <c r="D3">
        <v>5</v>
      </c>
      <c r="E3">
        <f t="shared" si="0"/>
        <v>3500</v>
      </c>
      <c r="F3" t="str">
        <f t="shared" si="1"/>
        <v>sgm_const_plane_point_vector("5","[3500,0,0]","&lt;1,0,0&gt;",sgm_create_plane_po_created_ids )</v>
      </c>
      <c r="K3" s="4" t="s">
        <v>382</v>
      </c>
      <c r="L3" s="4">
        <v>2270</v>
      </c>
      <c r="M3">
        <f>SUM($L3:L$15)</f>
        <v>33340</v>
      </c>
      <c r="N3" s="4">
        <v>2270</v>
      </c>
      <c r="O3">
        <f>SUM($N3:N$15)</f>
        <v>33440</v>
      </c>
      <c r="Q3">
        <f t="shared" si="2"/>
        <v>100</v>
      </c>
    </row>
    <row r="4" spans="1:17" x14ac:dyDescent="0.3">
      <c r="A4" s="49">
        <v>-10</v>
      </c>
      <c r="B4" s="49">
        <f t="shared" ref="B4:B13" si="3">B5-700</f>
        <v>-7000</v>
      </c>
      <c r="D4">
        <v>9</v>
      </c>
      <c r="E4">
        <f t="shared" si="0"/>
        <v>6300</v>
      </c>
      <c r="F4" t="str">
        <f t="shared" si="1"/>
        <v>sgm_const_plane_point_vector("9","[6300,0,0]","&lt;1,0,0&gt;",sgm_create_plane_po_created_ids )</v>
      </c>
      <c r="K4" s="4">
        <v>11</v>
      </c>
      <c r="L4" s="4">
        <v>2270</v>
      </c>
      <c r="M4">
        <f>SUM($L4:L$15)</f>
        <v>31070</v>
      </c>
      <c r="N4" s="4">
        <v>2270</v>
      </c>
      <c r="O4">
        <f>SUM($N4:N$15)</f>
        <v>31170</v>
      </c>
      <c r="Q4">
        <f t="shared" si="2"/>
        <v>100</v>
      </c>
    </row>
    <row r="5" spans="1:17" x14ac:dyDescent="0.3">
      <c r="A5" s="49">
        <v>-9</v>
      </c>
      <c r="B5" s="49">
        <f t="shared" si="3"/>
        <v>-6300</v>
      </c>
      <c r="D5">
        <v>13</v>
      </c>
      <c r="E5">
        <f t="shared" si="0"/>
        <v>9100</v>
      </c>
      <c r="F5" t="str">
        <f t="shared" si="1"/>
        <v>sgm_const_plane_point_vector("13","[9100,0,0]","&lt;1,0,0&gt;",sgm_create_plane_po_created_ids )</v>
      </c>
      <c r="K5" s="4">
        <v>10</v>
      </c>
      <c r="L5" s="4">
        <v>2400</v>
      </c>
      <c r="M5">
        <f>SUM($L5:L$15)</f>
        <v>28800</v>
      </c>
      <c r="N5" s="4">
        <v>2500</v>
      </c>
      <c r="O5">
        <f>SUM($N5:N$15)</f>
        <v>28900</v>
      </c>
      <c r="Q5">
        <f t="shared" si="2"/>
        <v>100</v>
      </c>
    </row>
    <row r="6" spans="1:17" x14ac:dyDescent="0.3">
      <c r="A6" s="49">
        <v>-8</v>
      </c>
      <c r="B6" s="49">
        <f t="shared" si="3"/>
        <v>-5600</v>
      </c>
      <c r="D6">
        <v>15</v>
      </c>
      <c r="E6">
        <f t="shared" si="0"/>
        <v>10500</v>
      </c>
      <c r="F6" t="str">
        <f t="shared" si="1"/>
        <v>sgm_const_plane_point_vector("15","[10500,0,0]","&lt;1,0,0&gt;",sgm_create_plane_po_created_ids )</v>
      </c>
      <c r="K6" s="4">
        <v>9</v>
      </c>
      <c r="L6" s="4">
        <v>2720</v>
      </c>
      <c r="M6">
        <f>SUM($L6:L$15)</f>
        <v>26400</v>
      </c>
      <c r="N6" s="4">
        <v>2720</v>
      </c>
      <c r="O6">
        <f>SUM($N6:N$15)</f>
        <v>26400</v>
      </c>
      <c r="Q6">
        <f t="shared" si="2"/>
        <v>0</v>
      </c>
    </row>
    <row r="7" spans="1:17" x14ac:dyDescent="0.3">
      <c r="A7" s="49">
        <v>-7</v>
      </c>
      <c r="B7" s="49">
        <f t="shared" si="3"/>
        <v>-4900</v>
      </c>
      <c r="D7">
        <v>17</v>
      </c>
      <c r="E7">
        <f t="shared" si="0"/>
        <v>12140</v>
      </c>
      <c r="F7" t="str">
        <f t="shared" si="1"/>
        <v>sgm_const_plane_point_vector("17","[12140,0,0]","&lt;1,0,0&gt;",sgm_create_plane_po_created_ids )</v>
      </c>
      <c r="K7" s="4">
        <v>8</v>
      </c>
      <c r="L7" s="4">
        <v>2740</v>
      </c>
      <c r="M7">
        <f>SUM($L7:L$15)</f>
        <v>23680</v>
      </c>
      <c r="N7" s="4">
        <v>2740</v>
      </c>
      <c r="O7">
        <f>SUM($N7:N$15)</f>
        <v>23680</v>
      </c>
      <c r="Q7">
        <f t="shared" si="2"/>
        <v>0</v>
      </c>
    </row>
    <row r="8" spans="1:17" x14ac:dyDescent="0.3">
      <c r="A8" s="49">
        <v>-6</v>
      </c>
      <c r="B8" s="49">
        <f t="shared" si="3"/>
        <v>-4200</v>
      </c>
      <c r="D8">
        <v>21</v>
      </c>
      <c r="E8">
        <f t="shared" si="0"/>
        <v>15420</v>
      </c>
      <c r="F8" t="str">
        <f t="shared" si="1"/>
        <v>sgm_const_plane_point_vector("21","[15420,0,0]","&lt;1,0,0&gt;",sgm_create_plane_po_created_ids )</v>
      </c>
      <c r="K8" s="4">
        <v>7</v>
      </c>
      <c r="L8" s="4">
        <v>2995</v>
      </c>
      <c r="M8">
        <f>SUM($L8:L$15)</f>
        <v>20940</v>
      </c>
      <c r="N8" s="4">
        <v>2995</v>
      </c>
      <c r="O8">
        <f>SUM($N8:N$15)</f>
        <v>20940</v>
      </c>
      <c r="Q8">
        <f t="shared" si="2"/>
        <v>0</v>
      </c>
    </row>
    <row r="9" spans="1:17" x14ac:dyDescent="0.3">
      <c r="A9" s="49">
        <v>-5</v>
      </c>
      <c r="B9" s="49">
        <f t="shared" si="3"/>
        <v>-3500</v>
      </c>
      <c r="D9">
        <v>25</v>
      </c>
      <c r="E9">
        <f t="shared" si="0"/>
        <v>18700</v>
      </c>
      <c r="F9" t="str">
        <f t="shared" si="1"/>
        <v>sgm_const_plane_point_vector("25","[18700,0,0]","&lt;1,0,0&gt;",sgm_create_plane_po_created_ids )</v>
      </c>
      <c r="K9" s="4">
        <v>6</v>
      </c>
      <c r="L9" s="4">
        <v>3545</v>
      </c>
      <c r="M9">
        <f>SUM($L9:L$15)</f>
        <v>17945</v>
      </c>
      <c r="N9" s="4">
        <v>3545</v>
      </c>
      <c r="O9">
        <f>SUM($N9:N$15)</f>
        <v>17945</v>
      </c>
      <c r="Q9">
        <f t="shared" si="2"/>
        <v>0</v>
      </c>
    </row>
    <row r="10" spans="1:17" x14ac:dyDescent="0.3">
      <c r="A10" s="49">
        <v>-4</v>
      </c>
      <c r="B10" s="49">
        <f t="shared" si="3"/>
        <v>-2800</v>
      </c>
      <c r="D10">
        <v>29</v>
      </c>
      <c r="E10">
        <f t="shared" si="0"/>
        <v>21980</v>
      </c>
      <c r="F10" t="str">
        <f t="shared" si="1"/>
        <v>sgm_const_plane_point_vector("29","[21980,0,0]","&lt;1,0,0&gt;",sgm_create_plane_po_created_ids )</v>
      </c>
      <c r="K10" s="4">
        <v>5</v>
      </c>
      <c r="L10" s="4">
        <v>3650</v>
      </c>
      <c r="M10">
        <f>SUM($L10:L$15)</f>
        <v>14400</v>
      </c>
      <c r="N10" s="4">
        <v>3650</v>
      </c>
      <c r="O10">
        <f>SUM($N10:N$15)</f>
        <v>14400</v>
      </c>
      <c r="Q10">
        <f t="shared" si="2"/>
        <v>0</v>
      </c>
    </row>
    <row r="11" spans="1:17" x14ac:dyDescent="0.3">
      <c r="A11" s="49">
        <v>-3</v>
      </c>
      <c r="B11" s="49">
        <f t="shared" si="3"/>
        <v>-2100</v>
      </c>
      <c r="D11">
        <v>33</v>
      </c>
      <c r="E11">
        <f t="shared" si="0"/>
        <v>25260</v>
      </c>
      <c r="F11" t="str">
        <f t="shared" si="1"/>
        <v>sgm_const_plane_point_vector("33","[25260,0,0]","&lt;1,0,0&gt;",sgm_create_plane_po_created_ids )</v>
      </c>
      <c r="K11" s="4">
        <v>4</v>
      </c>
      <c r="L11" s="4">
        <v>2940</v>
      </c>
      <c r="M11">
        <f>SUM($L11:L$15)</f>
        <v>10750</v>
      </c>
      <c r="N11" s="4">
        <v>2940</v>
      </c>
      <c r="O11">
        <f>SUM($N11:N$15)</f>
        <v>10750</v>
      </c>
      <c r="Q11">
        <f t="shared" si="2"/>
        <v>0</v>
      </c>
    </row>
    <row r="12" spans="1:17" x14ac:dyDescent="0.3">
      <c r="A12" s="49">
        <v>-2</v>
      </c>
      <c r="B12" s="49">
        <f t="shared" si="3"/>
        <v>-1400</v>
      </c>
      <c r="D12">
        <v>37</v>
      </c>
      <c r="E12">
        <f t="shared" si="0"/>
        <v>28540</v>
      </c>
      <c r="F12" t="str">
        <f t="shared" si="1"/>
        <v>sgm_const_plane_point_vector("37","[28540,0,0]","&lt;1,0,0&gt;",sgm_create_plane_po_created_ids )</v>
      </c>
      <c r="K12" s="4">
        <v>3</v>
      </c>
      <c r="L12" s="4">
        <v>2890</v>
      </c>
      <c r="M12">
        <f>SUM($L12:L$15)</f>
        <v>7810</v>
      </c>
      <c r="N12" s="4">
        <v>2890</v>
      </c>
      <c r="O12">
        <f>SUM($N12:N$15)</f>
        <v>7810</v>
      </c>
      <c r="Q12">
        <f t="shared" si="2"/>
        <v>0</v>
      </c>
    </row>
    <row r="13" spans="1:17" x14ac:dyDescent="0.3">
      <c r="A13" s="49">
        <v>-1</v>
      </c>
      <c r="B13" s="49">
        <f t="shared" si="3"/>
        <v>-700</v>
      </c>
      <c r="D13">
        <v>41</v>
      </c>
      <c r="E13">
        <f t="shared" si="0"/>
        <v>31820</v>
      </c>
      <c r="F13" t="str">
        <f t="shared" si="1"/>
        <v>sgm_const_plane_point_vector("41","[31820,0,0]","&lt;1,0,0&gt;",sgm_create_plane_po_created_ids )</v>
      </c>
      <c r="K13" s="4">
        <v>2</v>
      </c>
      <c r="L13" s="4">
        <v>2820</v>
      </c>
      <c r="M13">
        <f>SUM($L13:L$15)</f>
        <v>4920</v>
      </c>
      <c r="N13" s="4">
        <v>2820</v>
      </c>
      <c r="O13">
        <f>SUM($N13:N$15)</f>
        <v>4920</v>
      </c>
      <c r="Q13">
        <f t="shared" si="2"/>
        <v>0</v>
      </c>
    </row>
    <row r="14" spans="1:17" x14ac:dyDescent="0.3">
      <c r="A14" s="49">
        <v>0</v>
      </c>
      <c r="B14" s="49">
        <v>0</v>
      </c>
      <c r="D14">
        <v>45</v>
      </c>
      <c r="E14">
        <f t="shared" si="0"/>
        <v>35100</v>
      </c>
      <c r="F14" t="str">
        <f t="shared" si="1"/>
        <v>sgm_const_plane_point_vector("45","[35100,0,0]","&lt;1,0,0&gt;",sgm_create_plane_po_created_ids )</v>
      </c>
      <c r="K14" s="4">
        <v>1</v>
      </c>
      <c r="L14" s="4">
        <v>2100</v>
      </c>
      <c r="M14">
        <f>SUM($L14:L$15)</f>
        <v>2100</v>
      </c>
      <c r="N14" s="4">
        <v>2100</v>
      </c>
      <c r="O14">
        <f>SUM($N14:N$15)</f>
        <v>2100</v>
      </c>
      <c r="Q14">
        <f t="shared" si="2"/>
        <v>0</v>
      </c>
    </row>
    <row r="15" spans="1:17" x14ac:dyDescent="0.3">
      <c r="A15" s="49">
        <v>1</v>
      </c>
      <c r="B15" s="49">
        <v>700</v>
      </c>
      <c r="D15">
        <v>49</v>
      </c>
      <c r="E15">
        <f t="shared" si="0"/>
        <v>38380</v>
      </c>
      <c r="F15" t="str">
        <f t="shared" si="1"/>
        <v>sgm_const_plane_point_vector("49","[38380,0,0]","&lt;1,0,0&gt;",sgm_create_plane_po_created_ids )</v>
      </c>
      <c r="K15" s="4">
        <v>0</v>
      </c>
      <c r="L15" s="4">
        <v>0</v>
      </c>
      <c r="M15">
        <f>SUM($L$15:L15)</f>
        <v>0</v>
      </c>
      <c r="N15" s="4">
        <v>0</v>
      </c>
      <c r="O15">
        <f>SUM($N$15:N15)</f>
        <v>0</v>
      </c>
      <c r="Q15">
        <f t="shared" si="2"/>
        <v>0</v>
      </c>
    </row>
    <row r="16" spans="1:17" x14ac:dyDescent="0.3">
      <c r="A16" s="49">
        <v>2</v>
      </c>
      <c r="B16" s="49">
        <v>1400</v>
      </c>
      <c r="D16">
        <v>53</v>
      </c>
      <c r="E16">
        <f t="shared" si="0"/>
        <v>41660</v>
      </c>
      <c r="F16" t="str">
        <f t="shared" si="1"/>
        <v>sgm_const_plane_point_vector("53","[41660,0,0]","&lt;1,0,0&gt;",sgm_create_plane_po_created_ids )</v>
      </c>
    </row>
    <row r="17" spans="1:6" x14ac:dyDescent="0.3">
      <c r="A17" s="49">
        <v>3</v>
      </c>
      <c r="B17" s="49">
        <v>2100</v>
      </c>
      <c r="D17">
        <v>57</v>
      </c>
      <c r="E17">
        <f t="shared" si="0"/>
        <v>44940</v>
      </c>
      <c r="F17" t="str">
        <f t="shared" si="1"/>
        <v>sgm_const_plane_point_vector("57","[44940,0,0]","&lt;1,0,0&gt;",sgm_create_plane_po_created_ids )</v>
      </c>
    </row>
    <row r="18" spans="1:6" x14ac:dyDescent="0.3">
      <c r="A18" s="49">
        <v>4</v>
      </c>
      <c r="B18" s="49">
        <v>2800</v>
      </c>
      <c r="D18">
        <v>61</v>
      </c>
      <c r="E18">
        <f t="shared" si="0"/>
        <v>48220</v>
      </c>
      <c r="F18" t="str">
        <f t="shared" si="1"/>
        <v>sgm_const_plane_point_vector("61","[48220,0,0]","&lt;1,0,0&gt;",sgm_create_plane_po_created_ids )</v>
      </c>
    </row>
    <row r="19" spans="1:6" x14ac:dyDescent="0.3">
      <c r="A19" s="49">
        <v>5</v>
      </c>
      <c r="B19" s="49">
        <v>3500</v>
      </c>
      <c r="D19">
        <v>65</v>
      </c>
      <c r="E19">
        <f t="shared" si="0"/>
        <v>51500</v>
      </c>
      <c r="F19" t="str">
        <f t="shared" si="1"/>
        <v>sgm_const_plane_point_vector("65","[51500,0,0]","&lt;1,0,0&gt;",sgm_create_plane_po_created_ids )</v>
      </c>
    </row>
    <row r="20" spans="1:6" x14ac:dyDescent="0.3">
      <c r="A20" s="49">
        <v>6</v>
      </c>
      <c r="B20" s="49">
        <v>4200</v>
      </c>
      <c r="D20">
        <v>69</v>
      </c>
      <c r="E20">
        <f t="shared" si="0"/>
        <v>54780</v>
      </c>
      <c r="F20" t="str">
        <f t="shared" si="1"/>
        <v>sgm_const_plane_point_vector("69","[54780,0,0]","&lt;1,0,0&gt;",sgm_create_plane_po_created_ids )</v>
      </c>
    </row>
    <row r="21" spans="1:6" x14ac:dyDescent="0.3">
      <c r="A21" s="49">
        <v>7</v>
      </c>
      <c r="B21" s="49">
        <v>4900</v>
      </c>
      <c r="D21">
        <v>73</v>
      </c>
      <c r="E21">
        <f t="shared" si="0"/>
        <v>58060</v>
      </c>
      <c r="F21" t="str">
        <f t="shared" si="1"/>
        <v>sgm_const_plane_point_vector("73","[58060,0,0]","&lt;1,0,0&gt;",sgm_create_plane_po_created_ids )</v>
      </c>
    </row>
    <row r="22" spans="1:6" x14ac:dyDescent="0.3">
      <c r="A22" s="49">
        <v>8</v>
      </c>
      <c r="B22" s="49">
        <v>5600</v>
      </c>
      <c r="D22">
        <v>77</v>
      </c>
      <c r="E22">
        <f t="shared" si="0"/>
        <v>61340</v>
      </c>
      <c r="F22" t="str">
        <f t="shared" si="1"/>
        <v>sgm_const_plane_point_vector("77","[61340,0,0]","&lt;1,0,0&gt;",sgm_create_plane_po_created_ids )</v>
      </c>
    </row>
    <row r="23" spans="1:6" x14ac:dyDescent="0.3">
      <c r="A23" s="49">
        <v>9</v>
      </c>
      <c r="B23" s="49">
        <v>6300</v>
      </c>
      <c r="D23">
        <v>81</v>
      </c>
      <c r="E23">
        <f t="shared" si="0"/>
        <v>64620</v>
      </c>
      <c r="F23" t="str">
        <f t="shared" si="1"/>
        <v>sgm_const_plane_point_vector("81","[64620,0,0]","&lt;1,0,0&gt;",sgm_create_plane_po_created_ids )</v>
      </c>
    </row>
    <row r="24" spans="1:6" x14ac:dyDescent="0.3">
      <c r="A24" s="49">
        <v>10</v>
      </c>
      <c r="B24" s="49">
        <v>7000</v>
      </c>
      <c r="D24">
        <v>85</v>
      </c>
      <c r="E24">
        <f t="shared" si="0"/>
        <v>67900</v>
      </c>
      <c r="F24" t="str">
        <f t="shared" si="1"/>
        <v>sgm_const_plane_point_vector("85","[67900,0,0]","&lt;1,0,0&gt;",sgm_create_plane_po_created_ids )</v>
      </c>
    </row>
    <row r="25" spans="1:6" x14ac:dyDescent="0.3">
      <c r="A25" s="49">
        <v>11</v>
      </c>
      <c r="B25" s="49">
        <v>7700</v>
      </c>
      <c r="D25">
        <v>89</v>
      </c>
      <c r="E25">
        <f t="shared" si="0"/>
        <v>71180</v>
      </c>
      <c r="F25" t="str">
        <f t="shared" si="1"/>
        <v>sgm_const_plane_point_vector("89","[71180,0,0]","&lt;1,0,0&gt;",sgm_create_plane_po_created_ids )</v>
      </c>
    </row>
    <row r="26" spans="1:6" x14ac:dyDescent="0.3">
      <c r="A26" s="49">
        <v>12</v>
      </c>
      <c r="B26" s="49">
        <v>8400</v>
      </c>
      <c r="D26">
        <v>93</v>
      </c>
      <c r="E26">
        <f t="shared" si="0"/>
        <v>74460</v>
      </c>
      <c r="F26" t="str">
        <f t="shared" si="1"/>
        <v>sgm_const_plane_point_vector("93","[74460,0,0]","&lt;1,0,0&gt;",sgm_create_plane_po_created_ids )</v>
      </c>
    </row>
    <row r="27" spans="1:6" x14ac:dyDescent="0.3">
      <c r="A27" s="49">
        <v>13</v>
      </c>
      <c r="B27" s="49">
        <v>9100</v>
      </c>
      <c r="D27">
        <v>97</v>
      </c>
      <c r="E27">
        <f t="shared" si="0"/>
        <v>77740</v>
      </c>
      <c r="F27" t="str">
        <f t="shared" si="1"/>
        <v>sgm_const_plane_point_vector("97","[77740,0,0]","&lt;1,0,0&gt;",sgm_create_plane_po_created_ids )</v>
      </c>
    </row>
    <row r="28" spans="1:6" x14ac:dyDescent="0.3">
      <c r="A28" s="49">
        <v>14</v>
      </c>
      <c r="B28" s="49">
        <v>9800</v>
      </c>
      <c r="D28">
        <v>101</v>
      </c>
      <c r="E28">
        <f t="shared" si="0"/>
        <v>81020</v>
      </c>
      <c r="F28" t="str">
        <f t="shared" si="1"/>
        <v>sgm_const_plane_point_vector("101","[81020,0,0]","&lt;1,0,0&gt;",sgm_create_plane_po_created_ids )</v>
      </c>
    </row>
    <row r="29" spans="1:6" x14ac:dyDescent="0.3">
      <c r="A29" s="49">
        <v>15</v>
      </c>
      <c r="B29" s="49">
        <v>10500</v>
      </c>
      <c r="D29">
        <v>105</v>
      </c>
      <c r="E29">
        <f t="shared" si="0"/>
        <v>84300</v>
      </c>
      <c r="F29" t="str">
        <f t="shared" si="1"/>
        <v>sgm_const_plane_point_vector("105","[84300,0,0]","&lt;1,0,0&gt;",sgm_create_plane_po_created_ids )</v>
      </c>
    </row>
    <row r="30" spans="1:6" x14ac:dyDescent="0.3">
      <c r="A30" s="132">
        <v>16</v>
      </c>
      <c r="B30" s="132">
        <f t="shared" ref="B30:B61" si="4">B29+820</f>
        <v>11320</v>
      </c>
      <c r="D30">
        <v>109</v>
      </c>
      <c r="E30">
        <f t="shared" si="0"/>
        <v>87580</v>
      </c>
      <c r="F30" t="str">
        <f t="shared" si="1"/>
        <v>sgm_const_plane_point_vector("109","[87580,0,0]","&lt;1,0,0&gt;",sgm_create_plane_po_created_ids )</v>
      </c>
    </row>
    <row r="31" spans="1:6" x14ac:dyDescent="0.3">
      <c r="A31" s="132">
        <v>17</v>
      </c>
      <c r="B31" s="132">
        <f t="shared" si="4"/>
        <v>12140</v>
      </c>
      <c r="D31">
        <v>113</v>
      </c>
      <c r="E31">
        <f t="shared" si="0"/>
        <v>90860</v>
      </c>
      <c r="F31" t="str">
        <f t="shared" si="1"/>
        <v>sgm_const_plane_point_vector("113","[90860,0,0]","&lt;1,0,0&gt;",sgm_create_plane_po_created_ids )</v>
      </c>
    </row>
    <row r="32" spans="1:6" x14ac:dyDescent="0.3">
      <c r="A32" s="132">
        <v>18</v>
      </c>
      <c r="B32" s="132">
        <f t="shared" si="4"/>
        <v>12960</v>
      </c>
      <c r="D32">
        <v>117</v>
      </c>
      <c r="E32">
        <f t="shared" si="0"/>
        <v>94140</v>
      </c>
      <c r="F32" t="str">
        <f t="shared" si="1"/>
        <v>sgm_const_plane_point_vector("117","[94140,0,0]","&lt;1,0,0&gt;",sgm_create_plane_po_created_ids )</v>
      </c>
    </row>
    <row r="33" spans="1:6" x14ac:dyDescent="0.3">
      <c r="A33" s="132">
        <v>19</v>
      </c>
      <c r="B33" s="132">
        <f t="shared" si="4"/>
        <v>13780</v>
      </c>
      <c r="D33">
        <v>121</v>
      </c>
      <c r="E33">
        <f t="shared" si="0"/>
        <v>97420</v>
      </c>
      <c r="F33" t="str">
        <f t="shared" si="1"/>
        <v>sgm_const_plane_point_vector("121","[97420,0,0]","&lt;1,0,0&gt;",sgm_create_plane_po_created_ids )</v>
      </c>
    </row>
    <row r="34" spans="1:6" x14ac:dyDescent="0.3">
      <c r="A34" s="132">
        <v>20</v>
      </c>
      <c r="B34" s="132">
        <f t="shared" si="4"/>
        <v>14600</v>
      </c>
      <c r="D34">
        <v>125</v>
      </c>
      <c r="E34">
        <f t="shared" ref="E34:E65" si="5">VLOOKUP(D34,$A$2:$B$236,2,0)</f>
        <v>100700</v>
      </c>
      <c r="F34" t="str">
        <f t="shared" ref="F34:F65" si="6">"sgm_const_plane_point_vector("&amp;""""&amp;D34&amp;""""&amp;","&amp;"""["&amp;E34&amp;",0,0]"""&amp;","&amp;"""&lt;1,0,0&gt;"""&amp;","&amp;"sgm_create_plane_po_created_ids )"</f>
        <v>sgm_const_plane_point_vector("125","[100700,0,0]","&lt;1,0,0&gt;",sgm_create_plane_po_created_ids )</v>
      </c>
    </row>
    <row r="35" spans="1:6" x14ac:dyDescent="0.3">
      <c r="A35" s="132">
        <v>21</v>
      </c>
      <c r="B35" s="132">
        <f t="shared" si="4"/>
        <v>15420</v>
      </c>
      <c r="D35">
        <v>129</v>
      </c>
      <c r="E35">
        <f t="shared" si="5"/>
        <v>103980</v>
      </c>
      <c r="F35" t="str">
        <f t="shared" si="6"/>
        <v>sgm_const_plane_point_vector("129","[103980,0,0]","&lt;1,0,0&gt;",sgm_create_plane_po_created_ids )</v>
      </c>
    </row>
    <row r="36" spans="1:6" x14ac:dyDescent="0.3">
      <c r="A36" s="132">
        <v>22</v>
      </c>
      <c r="B36" s="132">
        <f t="shared" si="4"/>
        <v>16240</v>
      </c>
      <c r="D36">
        <v>133</v>
      </c>
      <c r="E36">
        <f t="shared" si="5"/>
        <v>107260</v>
      </c>
      <c r="F36" t="str">
        <f t="shared" si="6"/>
        <v>sgm_const_plane_point_vector("133","[107260,0,0]","&lt;1,0,0&gt;",sgm_create_plane_po_created_ids )</v>
      </c>
    </row>
    <row r="37" spans="1:6" x14ac:dyDescent="0.3">
      <c r="A37" s="132">
        <v>23</v>
      </c>
      <c r="B37" s="132">
        <f t="shared" si="4"/>
        <v>17060</v>
      </c>
      <c r="D37">
        <v>137</v>
      </c>
      <c r="E37">
        <f t="shared" si="5"/>
        <v>110540</v>
      </c>
      <c r="F37" t="str">
        <f t="shared" si="6"/>
        <v>sgm_const_plane_point_vector("137","[110540,0,0]","&lt;1,0,0&gt;",sgm_create_plane_po_created_ids )</v>
      </c>
    </row>
    <row r="38" spans="1:6" x14ac:dyDescent="0.3">
      <c r="A38" s="132">
        <v>24</v>
      </c>
      <c r="B38" s="132">
        <f t="shared" si="4"/>
        <v>17880</v>
      </c>
      <c r="D38">
        <v>141</v>
      </c>
      <c r="E38">
        <f t="shared" si="5"/>
        <v>113820</v>
      </c>
      <c r="F38" t="str">
        <f t="shared" si="6"/>
        <v>sgm_const_plane_point_vector("141","[113820,0,0]","&lt;1,0,0&gt;",sgm_create_plane_po_created_ids )</v>
      </c>
    </row>
    <row r="39" spans="1:6" x14ac:dyDescent="0.3">
      <c r="A39" s="132">
        <v>25</v>
      </c>
      <c r="B39" s="132">
        <f t="shared" si="4"/>
        <v>18700</v>
      </c>
      <c r="D39">
        <v>145</v>
      </c>
      <c r="E39">
        <f t="shared" si="5"/>
        <v>117100</v>
      </c>
      <c r="F39" t="str">
        <f t="shared" si="6"/>
        <v>sgm_const_plane_point_vector("145","[117100,0,0]","&lt;1,0,0&gt;",sgm_create_plane_po_created_ids )</v>
      </c>
    </row>
    <row r="40" spans="1:6" x14ac:dyDescent="0.3">
      <c r="A40" s="132">
        <v>26</v>
      </c>
      <c r="B40" s="132">
        <f t="shared" si="4"/>
        <v>19520</v>
      </c>
      <c r="D40">
        <v>149</v>
      </c>
      <c r="E40">
        <f t="shared" si="5"/>
        <v>120380</v>
      </c>
      <c r="F40" t="str">
        <f t="shared" si="6"/>
        <v>sgm_const_plane_point_vector("149","[120380,0,0]","&lt;1,0,0&gt;",sgm_create_plane_po_created_ids )</v>
      </c>
    </row>
    <row r="41" spans="1:6" x14ac:dyDescent="0.3">
      <c r="A41" s="132">
        <v>27</v>
      </c>
      <c r="B41" s="132">
        <f t="shared" si="4"/>
        <v>20340</v>
      </c>
      <c r="D41">
        <v>153</v>
      </c>
      <c r="E41">
        <f t="shared" si="5"/>
        <v>123660</v>
      </c>
      <c r="F41" t="str">
        <f t="shared" si="6"/>
        <v>sgm_const_plane_point_vector("153","[123660,0,0]","&lt;1,0,0&gt;",sgm_create_plane_po_created_ids )</v>
      </c>
    </row>
    <row r="42" spans="1:6" x14ac:dyDescent="0.3">
      <c r="A42" s="132">
        <v>28</v>
      </c>
      <c r="B42" s="132">
        <f t="shared" si="4"/>
        <v>21160</v>
      </c>
      <c r="D42">
        <v>157</v>
      </c>
      <c r="E42">
        <f t="shared" si="5"/>
        <v>126940</v>
      </c>
      <c r="F42" t="str">
        <f t="shared" si="6"/>
        <v>sgm_const_plane_point_vector("157","[126940,0,0]","&lt;1,0,0&gt;",sgm_create_plane_po_created_ids )</v>
      </c>
    </row>
    <row r="43" spans="1:6" x14ac:dyDescent="0.3">
      <c r="A43" s="132">
        <v>29</v>
      </c>
      <c r="B43" s="132">
        <f t="shared" si="4"/>
        <v>21980</v>
      </c>
      <c r="D43">
        <v>161</v>
      </c>
      <c r="E43">
        <f t="shared" si="5"/>
        <v>130220</v>
      </c>
      <c r="F43" t="str">
        <f t="shared" si="6"/>
        <v>sgm_const_plane_point_vector("161","[130220,0,0]","&lt;1,0,0&gt;",sgm_create_plane_po_created_ids )</v>
      </c>
    </row>
    <row r="44" spans="1:6" x14ac:dyDescent="0.3">
      <c r="A44" s="132">
        <v>30</v>
      </c>
      <c r="B44" s="132">
        <f t="shared" si="4"/>
        <v>22800</v>
      </c>
      <c r="D44">
        <v>165</v>
      </c>
      <c r="E44">
        <f t="shared" si="5"/>
        <v>133500</v>
      </c>
      <c r="F44" t="str">
        <f t="shared" si="6"/>
        <v>sgm_const_plane_point_vector("165","[133500,0,0]","&lt;1,0,0&gt;",sgm_create_plane_po_created_ids )</v>
      </c>
    </row>
    <row r="45" spans="1:6" x14ac:dyDescent="0.3">
      <c r="A45" s="132">
        <v>31</v>
      </c>
      <c r="B45" s="132">
        <f t="shared" si="4"/>
        <v>23620</v>
      </c>
      <c r="D45">
        <v>169</v>
      </c>
      <c r="E45">
        <f t="shared" si="5"/>
        <v>136780</v>
      </c>
      <c r="F45" t="str">
        <f t="shared" si="6"/>
        <v>sgm_const_plane_point_vector("169","[136780,0,0]","&lt;1,0,0&gt;",sgm_create_plane_po_created_ids )</v>
      </c>
    </row>
    <row r="46" spans="1:6" x14ac:dyDescent="0.3">
      <c r="A46" s="132">
        <v>32</v>
      </c>
      <c r="B46" s="132">
        <f t="shared" si="4"/>
        <v>24440</v>
      </c>
      <c r="D46">
        <v>173</v>
      </c>
      <c r="E46">
        <f t="shared" si="5"/>
        <v>140060</v>
      </c>
      <c r="F46" t="str">
        <f t="shared" si="6"/>
        <v>sgm_const_plane_point_vector("173","[140060,0,0]","&lt;1,0,0&gt;",sgm_create_plane_po_created_ids )</v>
      </c>
    </row>
    <row r="47" spans="1:6" x14ac:dyDescent="0.3">
      <c r="A47" s="132">
        <v>33</v>
      </c>
      <c r="B47" s="132">
        <f t="shared" si="4"/>
        <v>25260</v>
      </c>
      <c r="D47">
        <v>177</v>
      </c>
      <c r="E47">
        <f t="shared" si="5"/>
        <v>143340</v>
      </c>
      <c r="F47" t="str">
        <f t="shared" si="6"/>
        <v>sgm_const_plane_point_vector("177","[143340,0,0]","&lt;1,0,0&gt;",sgm_create_plane_po_created_ids )</v>
      </c>
    </row>
    <row r="48" spans="1:6" x14ac:dyDescent="0.3">
      <c r="A48" s="132">
        <v>34</v>
      </c>
      <c r="B48" s="132">
        <f t="shared" si="4"/>
        <v>26080</v>
      </c>
      <c r="D48">
        <v>181</v>
      </c>
      <c r="E48">
        <f t="shared" si="5"/>
        <v>146620</v>
      </c>
      <c r="F48" t="str">
        <f t="shared" si="6"/>
        <v>sgm_const_plane_point_vector("181","[146620,0,0]","&lt;1,0,0&gt;",sgm_create_plane_po_created_ids )</v>
      </c>
    </row>
    <row r="49" spans="1:6" x14ac:dyDescent="0.3">
      <c r="A49" s="132">
        <v>35</v>
      </c>
      <c r="B49" s="132">
        <f t="shared" si="4"/>
        <v>26900</v>
      </c>
      <c r="D49">
        <v>185</v>
      </c>
      <c r="E49">
        <f t="shared" si="5"/>
        <v>149900</v>
      </c>
      <c r="F49" t="str">
        <f t="shared" si="6"/>
        <v>sgm_const_plane_point_vector("185","[149900,0,0]","&lt;1,0,0&gt;",sgm_create_plane_po_created_ids )</v>
      </c>
    </row>
    <row r="50" spans="1:6" x14ac:dyDescent="0.3">
      <c r="A50" s="132">
        <v>36</v>
      </c>
      <c r="B50" s="132">
        <f t="shared" si="4"/>
        <v>27720</v>
      </c>
      <c r="D50">
        <v>189</v>
      </c>
      <c r="E50">
        <f t="shared" si="5"/>
        <v>153180</v>
      </c>
      <c r="F50" t="str">
        <f t="shared" si="6"/>
        <v>sgm_const_plane_point_vector("189","[153180,0,0]","&lt;1,0,0&gt;",sgm_create_plane_po_created_ids )</v>
      </c>
    </row>
    <row r="51" spans="1:6" x14ac:dyDescent="0.3">
      <c r="A51" s="132">
        <v>37</v>
      </c>
      <c r="B51" s="132">
        <f t="shared" si="4"/>
        <v>28540</v>
      </c>
      <c r="D51">
        <v>193</v>
      </c>
      <c r="E51">
        <f t="shared" si="5"/>
        <v>156460</v>
      </c>
      <c r="F51" t="str">
        <f t="shared" si="6"/>
        <v>sgm_const_plane_point_vector("193","[156460,0,0]","&lt;1,0,0&gt;",sgm_create_plane_po_created_ids )</v>
      </c>
    </row>
    <row r="52" spans="1:6" x14ac:dyDescent="0.3">
      <c r="A52" s="132">
        <v>38</v>
      </c>
      <c r="B52" s="132">
        <f t="shared" si="4"/>
        <v>29360</v>
      </c>
      <c r="D52">
        <v>197</v>
      </c>
      <c r="E52">
        <f t="shared" si="5"/>
        <v>159740</v>
      </c>
      <c r="F52" t="str">
        <f t="shared" si="6"/>
        <v>sgm_const_plane_point_vector("197","[159740,0,0]","&lt;1,0,0&gt;",sgm_create_plane_po_created_ids )</v>
      </c>
    </row>
    <row r="53" spans="1:6" x14ac:dyDescent="0.3">
      <c r="A53" s="132">
        <v>39</v>
      </c>
      <c r="B53" s="132">
        <f t="shared" si="4"/>
        <v>30180</v>
      </c>
      <c r="D53">
        <v>199</v>
      </c>
      <c r="E53">
        <f t="shared" si="5"/>
        <v>161380</v>
      </c>
      <c r="F53" t="str">
        <f t="shared" si="6"/>
        <v>sgm_const_plane_point_vector("199","[161380,0,0]","&lt;1,0,0&gt;",sgm_create_plane_po_created_ids )</v>
      </c>
    </row>
    <row r="54" spans="1:6" x14ac:dyDescent="0.3">
      <c r="A54" s="132">
        <v>40</v>
      </c>
      <c r="B54" s="132">
        <f t="shared" si="4"/>
        <v>31000</v>
      </c>
    </row>
    <row r="55" spans="1:6" x14ac:dyDescent="0.3">
      <c r="A55" s="132">
        <v>41</v>
      </c>
      <c r="B55" s="132">
        <f t="shared" si="4"/>
        <v>31820</v>
      </c>
    </row>
    <row r="56" spans="1:6" x14ac:dyDescent="0.3">
      <c r="A56" s="132">
        <v>42</v>
      </c>
      <c r="B56" s="132">
        <f t="shared" si="4"/>
        <v>32640</v>
      </c>
    </row>
    <row r="57" spans="1:6" x14ac:dyDescent="0.3">
      <c r="A57" s="132">
        <v>43</v>
      </c>
      <c r="B57" s="132">
        <f t="shared" si="4"/>
        <v>33460</v>
      </c>
    </row>
    <row r="58" spans="1:6" x14ac:dyDescent="0.3">
      <c r="A58" s="132">
        <v>44</v>
      </c>
      <c r="B58" s="132">
        <f t="shared" si="4"/>
        <v>34280</v>
      </c>
    </row>
    <row r="59" spans="1:6" x14ac:dyDescent="0.3">
      <c r="A59" s="132">
        <v>45</v>
      </c>
      <c r="B59" s="132">
        <f t="shared" si="4"/>
        <v>35100</v>
      </c>
    </row>
    <row r="60" spans="1:6" x14ac:dyDescent="0.3">
      <c r="A60" s="132">
        <v>46</v>
      </c>
      <c r="B60" s="132">
        <f t="shared" si="4"/>
        <v>35920</v>
      </c>
    </row>
    <row r="61" spans="1:6" x14ac:dyDescent="0.3">
      <c r="A61" s="132">
        <v>47</v>
      </c>
      <c r="B61" s="132">
        <f t="shared" si="4"/>
        <v>36740</v>
      </c>
    </row>
    <row r="62" spans="1:6" x14ac:dyDescent="0.3">
      <c r="A62" s="132">
        <v>48</v>
      </c>
      <c r="B62" s="132">
        <f t="shared" ref="B62:B93" si="7">B61+820</f>
        <v>37560</v>
      </c>
    </row>
    <row r="63" spans="1:6" x14ac:dyDescent="0.3">
      <c r="A63" s="132">
        <v>49</v>
      </c>
      <c r="B63" s="132">
        <f t="shared" si="7"/>
        <v>38380</v>
      </c>
    </row>
    <row r="64" spans="1:6" x14ac:dyDescent="0.3">
      <c r="A64" s="132">
        <v>50</v>
      </c>
      <c r="B64" s="132">
        <f t="shared" si="7"/>
        <v>39200</v>
      </c>
    </row>
    <row r="65" spans="1:2" x14ac:dyDescent="0.3">
      <c r="A65" s="132">
        <v>51</v>
      </c>
      <c r="B65" s="132">
        <f t="shared" si="7"/>
        <v>40020</v>
      </c>
    </row>
    <row r="66" spans="1:2" x14ac:dyDescent="0.3">
      <c r="A66" s="132">
        <v>52</v>
      </c>
      <c r="B66" s="132">
        <f t="shared" si="7"/>
        <v>40840</v>
      </c>
    </row>
    <row r="67" spans="1:2" x14ac:dyDescent="0.3">
      <c r="A67" s="132">
        <v>53</v>
      </c>
      <c r="B67" s="132">
        <f t="shared" si="7"/>
        <v>41660</v>
      </c>
    </row>
    <row r="68" spans="1:2" x14ac:dyDescent="0.3">
      <c r="A68" s="132">
        <v>54</v>
      </c>
      <c r="B68" s="132">
        <f t="shared" si="7"/>
        <v>42480</v>
      </c>
    </row>
    <row r="69" spans="1:2" x14ac:dyDescent="0.3">
      <c r="A69" s="132">
        <v>55</v>
      </c>
      <c r="B69" s="132">
        <f t="shared" si="7"/>
        <v>43300</v>
      </c>
    </row>
    <row r="70" spans="1:2" x14ac:dyDescent="0.3">
      <c r="A70" s="132">
        <v>56</v>
      </c>
      <c r="B70" s="132">
        <f t="shared" si="7"/>
        <v>44120</v>
      </c>
    </row>
    <row r="71" spans="1:2" x14ac:dyDescent="0.3">
      <c r="A71" s="132">
        <v>57</v>
      </c>
      <c r="B71" s="132">
        <f t="shared" si="7"/>
        <v>44940</v>
      </c>
    </row>
    <row r="72" spans="1:2" x14ac:dyDescent="0.3">
      <c r="A72" s="132">
        <v>58</v>
      </c>
      <c r="B72" s="132">
        <f t="shared" si="7"/>
        <v>45760</v>
      </c>
    </row>
    <row r="73" spans="1:2" x14ac:dyDescent="0.3">
      <c r="A73" s="132">
        <v>59</v>
      </c>
      <c r="B73" s="132">
        <f t="shared" si="7"/>
        <v>46580</v>
      </c>
    </row>
    <row r="74" spans="1:2" x14ac:dyDescent="0.3">
      <c r="A74" s="132">
        <v>60</v>
      </c>
      <c r="B74" s="132">
        <f t="shared" si="7"/>
        <v>47400</v>
      </c>
    </row>
    <row r="75" spans="1:2" x14ac:dyDescent="0.3">
      <c r="A75" s="132">
        <v>61</v>
      </c>
      <c r="B75" s="132">
        <f t="shared" si="7"/>
        <v>48220</v>
      </c>
    </row>
    <row r="76" spans="1:2" x14ac:dyDescent="0.3">
      <c r="A76" s="132">
        <v>62</v>
      </c>
      <c r="B76" s="132">
        <f t="shared" si="7"/>
        <v>49040</v>
      </c>
    </row>
    <row r="77" spans="1:2" x14ac:dyDescent="0.3">
      <c r="A77" s="132">
        <v>63</v>
      </c>
      <c r="B77" s="132">
        <f t="shared" si="7"/>
        <v>49860</v>
      </c>
    </row>
    <row r="78" spans="1:2" x14ac:dyDescent="0.3">
      <c r="A78" s="132">
        <v>64</v>
      </c>
      <c r="B78" s="132">
        <f t="shared" si="7"/>
        <v>50680</v>
      </c>
    </row>
    <row r="79" spans="1:2" x14ac:dyDescent="0.3">
      <c r="A79" s="132">
        <v>65</v>
      </c>
      <c r="B79" s="132">
        <f t="shared" si="7"/>
        <v>51500</v>
      </c>
    </row>
    <row r="80" spans="1:2" x14ac:dyDescent="0.3">
      <c r="A80" s="132">
        <v>66</v>
      </c>
      <c r="B80" s="132">
        <f t="shared" si="7"/>
        <v>52320</v>
      </c>
    </row>
    <row r="81" spans="1:2" x14ac:dyDescent="0.3">
      <c r="A81" s="132">
        <v>67</v>
      </c>
      <c r="B81" s="132">
        <f t="shared" si="7"/>
        <v>53140</v>
      </c>
    </row>
    <row r="82" spans="1:2" x14ac:dyDescent="0.3">
      <c r="A82" s="132">
        <v>68</v>
      </c>
      <c r="B82" s="132">
        <f t="shared" si="7"/>
        <v>53960</v>
      </c>
    </row>
    <row r="83" spans="1:2" x14ac:dyDescent="0.3">
      <c r="A83" s="132">
        <v>69</v>
      </c>
      <c r="B83" s="132">
        <f t="shared" si="7"/>
        <v>54780</v>
      </c>
    </row>
    <row r="84" spans="1:2" x14ac:dyDescent="0.3">
      <c r="A84" s="132">
        <v>70</v>
      </c>
      <c r="B84" s="132">
        <f t="shared" si="7"/>
        <v>55600</v>
      </c>
    </row>
    <row r="85" spans="1:2" x14ac:dyDescent="0.3">
      <c r="A85" s="132">
        <v>71</v>
      </c>
      <c r="B85" s="132">
        <f t="shared" si="7"/>
        <v>56420</v>
      </c>
    </row>
    <row r="86" spans="1:2" x14ac:dyDescent="0.3">
      <c r="A86" s="132">
        <v>72</v>
      </c>
      <c r="B86" s="132">
        <f t="shared" si="7"/>
        <v>57240</v>
      </c>
    </row>
    <row r="87" spans="1:2" x14ac:dyDescent="0.3">
      <c r="A87" s="132">
        <v>73</v>
      </c>
      <c r="B87" s="132">
        <f t="shared" si="7"/>
        <v>58060</v>
      </c>
    </row>
    <row r="88" spans="1:2" x14ac:dyDescent="0.3">
      <c r="A88" s="132">
        <v>74</v>
      </c>
      <c r="B88" s="132">
        <f t="shared" si="7"/>
        <v>58880</v>
      </c>
    </row>
    <row r="89" spans="1:2" x14ac:dyDescent="0.3">
      <c r="A89" s="132">
        <v>75</v>
      </c>
      <c r="B89" s="132">
        <f t="shared" si="7"/>
        <v>59700</v>
      </c>
    </row>
    <row r="90" spans="1:2" x14ac:dyDescent="0.3">
      <c r="A90" s="132">
        <v>76</v>
      </c>
      <c r="B90" s="132">
        <f t="shared" si="7"/>
        <v>60520</v>
      </c>
    </row>
    <row r="91" spans="1:2" x14ac:dyDescent="0.3">
      <c r="A91" s="132">
        <v>77</v>
      </c>
      <c r="B91" s="132">
        <f t="shared" si="7"/>
        <v>61340</v>
      </c>
    </row>
    <row r="92" spans="1:2" x14ac:dyDescent="0.3">
      <c r="A92" s="132">
        <v>78</v>
      </c>
      <c r="B92" s="132">
        <f t="shared" si="7"/>
        <v>62160</v>
      </c>
    </row>
    <row r="93" spans="1:2" x14ac:dyDescent="0.3">
      <c r="A93" s="132">
        <v>79</v>
      </c>
      <c r="B93" s="132">
        <f t="shared" si="7"/>
        <v>62980</v>
      </c>
    </row>
    <row r="94" spans="1:2" x14ac:dyDescent="0.3">
      <c r="A94" s="132">
        <v>80</v>
      </c>
      <c r="B94" s="132">
        <f t="shared" ref="B94:B125" si="8">B93+820</f>
        <v>63800</v>
      </c>
    </row>
    <row r="95" spans="1:2" x14ac:dyDescent="0.3">
      <c r="A95" s="132">
        <v>81</v>
      </c>
      <c r="B95" s="132">
        <f t="shared" si="8"/>
        <v>64620</v>
      </c>
    </row>
    <row r="96" spans="1:2" x14ac:dyDescent="0.3">
      <c r="A96" s="132">
        <v>82</v>
      </c>
      <c r="B96" s="132">
        <f t="shared" si="8"/>
        <v>65440</v>
      </c>
    </row>
    <row r="97" spans="1:2" x14ac:dyDescent="0.3">
      <c r="A97" s="132">
        <v>83</v>
      </c>
      <c r="B97" s="132">
        <f t="shared" si="8"/>
        <v>66260</v>
      </c>
    </row>
    <row r="98" spans="1:2" x14ac:dyDescent="0.3">
      <c r="A98" s="132">
        <v>84</v>
      </c>
      <c r="B98" s="132">
        <f t="shared" si="8"/>
        <v>67080</v>
      </c>
    </row>
    <row r="99" spans="1:2" x14ac:dyDescent="0.3">
      <c r="A99" s="132">
        <v>85</v>
      </c>
      <c r="B99" s="132">
        <f t="shared" si="8"/>
        <v>67900</v>
      </c>
    </row>
    <row r="100" spans="1:2" x14ac:dyDescent="0.3">
      <c r="A100" s="132">
        <v>86</v>
      </c>
      <c r="B100" s="132">
        <f t="shared" si="8"/>
        <v>68720</v>
      </c>
    </row>
    <row r="101" spans="1:2" x14ac:dyDescent="0.3">
      <c r="A101" s="132">
        <v>87</v>
      </c>
      <c r="B101" s="132">
        <f t="shared" si="8"/>
        <v>69540</v>
      </c>
    </row>
    <row r="102" spans="1:2" x14ac:dyDescent="0.3">
      <c r="A102" s="132">
        <v>88</v>
      </c>
      <c r="B102" s="132">
        <f t="shared" si="8"/>
        <v>70360</v>
      </c>
    </row>
    <row r="103" spans="1:2" x14ac:dyDescent="0.3">
      <c r="A103" s="132">
        <v>89</v>
      </c>
      <c r="B103" s="132">
        <f t="shared" si="8"/>
        <v>71180</v>
      </c>
    </row>
    <row r="104" spans="1:2" x14ac:dyDescent="0.3">
      <c r="A104" s="132">
        <v>90</v>
      </c>
      <c r="B104" s="132">
        <f t="shared" si="8"/>
        <v>72000</v>
      </c>
    </row>
    <row r="105" spans="1:2" x14ac:dyDescent="0.3">
      <c r="A105" s="132">
        <v>91</v>
      </c>
      <c r="B105" s="132">
        <f t="shared" si="8"/>
        <v>72820</v>
      </c>
    </row>
    <row r="106" spans="1:2" x14ac:dyDescent="0.3">
      <c r="A106" s="132">
        <v>92</v>
      </c>
      <c r="B106" s="132">
        <f t="shared" si="8"/>
        <v>73640</v>
      </c>
    </row>
    <row r="107" spans="1:2" x14ac:dyDescent="0.3">
      <c r="A107" s="132">
        <v>93</v>
      </c>
      <c r="B107" s="132">
        <f t="shared" si="8"/>
        <v>74460</v>
      </c>
    </row>
    <row r="108" spans="1:2" x14ac:dyDescent="0.3">
      <c r="A108" s="132">
        <v>94</v>
      </c>
      <c r="B108" s="132">
        <f t="shared" si="8"/>
        <v>75280</v>
      </c>
    </row>
    <row r="109" spans="1:2" x14ac:dyDescent="0.3">
      <c r="A109" s="132">
        <v>95</v>
      </c>
      <c r="B109" s="132">
        <f t="shared" si="8"/>
        <v>76100</v>
      </c>
    </row>
    <row r="110" spans="1:2" x14ac:dyDescent="0.3">
      <c r="A110" s="132">
        <v>96</v>
      </c>
      <c r="B110" s="132">
        <f t="shared" si="8"/>
        <v>76920</v>
      </c>
    </row>
    <row r="111" spans="1:2" x14ac:dyDescent="0.3">
      <c r="A111" s="132">
        <v>97</v>
      </c>
      <c r="B111" s="132">
        <f t="shared" si="8"/>
        <v>77740</v>
      </c>
    </row>
    <row r="112" spans="1:2" x14ac:dyDescent="0.3">
      <c r="A112" s="132">
        <v>98</v>
      </c>
      <c r="B112" s="132">
        <f t="shared" si="8"/>
        <v>78560</v>
      </c>
    </row>
    <row r="113" spans="1:2" x14ac:dyDescent="0.3">
      <c r="A113" s="132">
        <v>99</v>
      </c>
      <c r="B113" s="132">
        <f t="shared" si="8"/>
        <v>79380</v>
      </c>
    </row>
    <row r="114" spans="1:2" x14ac:dyDescent="0.3">
      <c r="A114" s="132">
        <v>100</v>
      </c>
      <c r="B114" s="132">
        <f t="shared" si="8"/>
        <v>80200</v>
      </c>
    </row>
    <row r="115" spans="1:2" x14ac:dyDescent="0.3">
      <c r="A115" s="132">
        <v>101</v>
      </c>
      <c r="B115" s="132">
        <f t="shared" si="8"/>
        <v>81020</v>
      </c>
    </row>
    <row r="116" spans="1:2" x14ac:dyDescent="0.3">
      <c r="A116" s="132">
        <v>102</v>
      </c>
      <c r="B116" s="132">
        <f t="shared" si="8"/>
        <v>81840</v>
      </c>
    </row>
    <row r="117" spans="1:2" x14ac:dyDescent="0.3">
      <c r="A117" s="132">
        <v>103</v>
      </c>
      <c r="B117" s="132">
        <f t="shared" si="8"/>
        <v>82660</v>
      </c>
    </row>
    <row r="118" spans="1:2" x14ac:dyDescent="0.3">
      <c r="A118" s="132">
        <v>104</v>
      </c>
      <c r="B118" s="132">
        <f t="shared" si="8"/>
        <v>83480</v>
      </c>
    </row>
    <row r="119" spans="1:2" x14ac:dyDescent="0.3">
      <c r="A119" s="132">
        <v>105</v>
      </c>
      <c r="B119" s="132">
        <f t="shared" si="8"/>
        <v>84300</v>
      </c>
    </row>
    <row r="120" spans="1:2" x14ac:dyDescent="0.3">
      <c r="A120" s="132">
        <v>106</v>
      </c>
      <c r="B120" s="132">
        <f t="shared" si="8"/>
        <v>85120</v>
      </c>
    </row>
    <row r="121" spans="1:2" x14ac:dyDescent="0.3">
      <c r="A121" s="132">
        <v>107</v>
      </c>
      <c r="B121" s="132">
        <f t="shared" si="8"/>
        <v>85940</v>
      </c>
    </row>
    <row r="122" spans="1:2" x14ac:dyDescent="0.3">
      <c r="A122" s="132">
        <v>108</v>
      </c>
      <c r="B122" s="132">
        <f t="shared" si="8"/>
        <v>86760</v>
      </c>
    </row>
    <row r="123" spans="1:2" x14ac:dyDescent="0.3">
      <c r="A123" s="132">
        <v>109</v>
      </c>
      <c r="B123" s="132">
        <f t="shared" si="8"/>
        <v>87580</v>
      </c>
    </row>
    <row r="124" spans="1:2" x14ac:dyDescent="0.3">
      <c r="A124" s="132">
        <v>110</v>
      </c>
      <c r="B124" s="132">
        <f t="shared" si="8"/>
        <v>88400</v>
      </c>
    </row>
    <row r="125" spans="1:2" x14ac:dyDescent="0.3">
      <c r="A125" s="132">
        <v>111</v>
      </c>
      <c r="B125" s="132">
        <f t="shared" si="8"/>
        <v>89220</v>
      </c>
    </row>
    <row r="126" spans="1:2" x14ac:dyDescent="0.3">
      <c r="A126" s="132">
        <v>112</v>
      </c>
      <c r="B126" s="132">
        <f t="shared" ref="B126:B157" si="9">B125+820</f>
        <v>90040</v>
      </c>
    </row>
    <row r="127" spans="1:2" x14ac:dyDescent="0.3">
      <c r="A127" s="132">
        <v>113</v>
      </c>
      <c r="B127" s="132">
        <f t="shared" si="9"/>
        <v>90860</v>
      </c>
    </row>
    <row r="128" spans="1:2" x14ac:dyDescent="0.3">
      <c r="A128" s="132">
        <v>114</v>
      </c>
      <c r="B128" s="132">
        <f t="shared" si="9"/>
        <v>91680</v>
      </c>
    </row>
    <row r="129" spans="1:2" x14ac:dyDescent="0.3">
      <c r="A129" s="132">
        <v>115</v>
      </c>
      <c r="B129" s="132">
        <f t="shared" si="9"/>
        <v>92500</v>
      </c>
    </row>
    <row r="130" spans="1:2" x14ac:dyDescent="0.3">
      <c r="A130" s="132">
        <v>116</v>
      </c>
      <c r="B130" s="132">
        <f t="shared" si="9"/>
        <v>93320</v>
      </c>
    </row>
    <row r="131" spans="1:2" x14ac:dyDescent="0.3">
      <c r="A131" s="132">
        <v>117</v>
      </c>
      <c r="B131" s="132">
        <f t="shared" si="9"/>
        <v>94140</v>
      </c>
    </row>
    <row r="132" spans="1:2" x14ac:dyDescent="0.3">
      <c r="A132" s="132">
        <v>118</v>
      </c>
      <c r="B132" s="132">
        <f t="shared" si="9"/>
        <v>94960</v>
      </c>
    </row>
    <row r="133" spans="1:2" x14ac:dyDescent="0.3">
      <c r="A133" s="132">
        <v>119</v>
      </c>
      <c r="B133" s="132">
        <f t="shared" si="9"/>
        <v>95780</v>
      </c>
    </row>
    <row r="134" spans="1:2" x14ac:dyDescent="0.3">
      <c r="A134" s="132">
        <v>120</v>
      </c>
      <c r="B134" s="132">
        <f t="shared" si="9"/>
        <v>96600</v>
      </c>
    </row>
    <row r="135" spans="1:2" x14ac:dyDescent="0.3">
      <c r="A135" s="132">
        <v>121</v>
      </c>
      <c r="B135" s="132">
        <f t="shared" si="9"/>
        <v>97420</v>
      </c>
    </row>
    <row r="136" spans="1:2" x14ac:dyDescent="0.3">
      <c r="A136" s="132">
        <v>122</v>
      </c>
      <c r="B136" s="132">
        <f t="shared" si="9"/>
        <v>98240</v>
      </c>
    </row>
    <row r="137" spans="1:2" x14ac:dyDescent="0.3">
      <c r="A137" s="132">
        <v>123</v>
      </c>
      <c r="B137" s="132">
        <f t="shared" si="9"/>
        <v>99060</v>
      </c>
    </row>
    <row r="138" spans="1:2" x14ac:dyDescent="0.3">
      <c r="A138" s="132">
        <v>124</v>
      </c>
      <c r="B138" s="132">
        <f t="shared" si="9"/>
        <v>99880</v>
      </c>
    </row>
    <row r="139" spans="1:2" x14ac:dyDescent="0.3">
      <c r="A139" s="132">
        <v>125</v>
      </c>
      <c r="B139" s="132">
        <f t="shared" si="9"/>
        <v>100700</v>
      </c>
    </row>
    <row r="140" spans="1:2" x14ac:dyDescent="0.3">
      <c r="A140" s="132">
        <v>126</v>
      </c>
      <c r="B140" s="132">
        <f t="shared" si="9"/>
        <v>101520</v>
      </c>
    </row>
    <row r="141" spans="1:2" x14ac:dyDescent="0.3">
      <c r="A141" s="132">
        <v>127</v>
      </c>
      <c r="B141" s="132">
        <f t="shared" si="9"/>
        <v>102340</v>
      </c>
    </row>
    <row r="142" spans="1:2" x14ac:dyDescent="0.3">
      <c r="A142" s="132">
        <v>128</v>
      </c>
      <c r="B142" s="132">
        <f t="shared" si="9"/>
        <v>103160</v>
      </c>
    </row>
    <row r="143" spans="1:2" x14ac:dyDescent="0.3">
      <c r="A143" s="132">
        <v>129</v>
      </c>
      <c r="B143" s="132">
        <f t="shared" si="9"/>
        <v>103980</v>
      </c>
    </row>
    <row r="144" spans="1:2" x14ac:dyDescent="0.3">
      <c r="A144" s="132">
        <v>130</v>
      </c>
      <c r="B144" s="132">
        <f t="shared" si="9"/>
        <v>104800</v>
      </c>
    </row>
    <row r="145" spans="1:2" x14ac:dyDescent="0.3">
      <c r="A145" s="132">
        <v>131</v>
      </c>
      <c r="B145" s="132">
        <f t="shared" si="9"/>
        <v>105620</v>
      </c>
    </row>
    <row r="146" spans="1:2" x14ac:dyDescent="0.3">
      <c r="A146" s="132">
        <v>132</v>
      </c>
      <c r="B146" s="132">
        <f t="shared" si="9"/>
        <v>106440</v>
      </c>
    </row>
    <row r="147" spans="1:2" x14ac:dyDescent="0.3">
      <c r="A147" s="132">
        <v>133</v>
      </c>
      <c r="B147" s="132">
        <f t="shared" si="9"/>
        <v>107260</v>
      </c>
    </row>
    <row r="148" spans="1:2" x14ac:dyDescent="0.3">
      <c r="A148" s="132">
        <v>134</v>
      </c>
      <c r="B148" s="132">
        <f t="shared" si="9"/>
        <v>108080</v>
      </c>
    </row>
    <row r="149" spans="1:2" x14ac:dyDescent="0.3">
      <c r="A149" s="132">
        <v>135</v>
      </c>
      <c r="B149" s="132">
        <f t="shared" si="9"/>
        <v>108900</v>
      </c>
    </row>
    <row r="150" spans="1:2" x14ac:dyDescent="0.3">
      <c r="A150" s="132">
        <v>136</v>
      </c>
      <c r="B150" s="132">
        <f t="shared" si="9"/>
        <v>109720</v>
      </c>
    </row>
    <row r="151" spans="1:2" x14ac:dyDescent="0.3">
      <c r="A151" s="132">
        <v>137</v>
      </c>
      <c r="B151" s="132">
        <f t="shared" si="9"/>
        <v>110540</v>
      </c>
    </row>
    <row r="152" spans="1:2" x14ac:dyDescent="0.3">
      <c r="A152" s="132">
        <v>138</v>
      </c>
      <c r="B152" s="132">
        <f t="shared" si="9"/>
        <v>111360</v>
      </c>
    </row>
    <row r="153" spans="1:2" x14ac:dyDescent="0.3">
      <c r="A153" s="132">
        <v>139</v>
      </c>
      <c r="B153" s="132">
        <f t="shared" si="9"/>
        <v>112180</v>
      </c>
    </row>
    <row r="154" spans="1:2" x14ac:dyDescent="0.3">
      <c r="A154" s="132">
        <v>140</v>
      </c>
      <c r="B154" s="132">
        <f t="shared" si="9"/>
        <v>113000</v>
      </c>
    </row>
    <row r="155" spans="1:2" x14ac:dyDescent="0.3">
      <c r="A155" s="132">
        <v>141</v>
      </c>
      <c r="B155" s="132">
        <f t="shared" si="9"/>
        <v>113820</v>
      </c>
    </row>
    <row r="156" spans="1:2" x14ac:dyDescent="0.3">
      <c r="A156" s="132">
        <v>142</v>
      </c>
      <c r="B156" s="132">
        <f t="shared" si="9"/>
        <v>114640</v>
      </c>
    </row>
    <row r="157" spans="1:2" x14ac:dyDescent="0.3">
      <c r="A157" s="132">
        <v>143</v>
      </c>
      <c r="B157" s="132">
        <f t="shared" si="9"/>
        <v>115460</v>
      </c>
    </row>
    <row r="158" spans="1:2" x14ac:dyDescent="0.3">
      <c r="A158" s="132">
        <v>144</v>
      </c>
      <c r="B158" s="132">
        <f t="shared" ref="B158:B189" si="10">B157+820</f>
        <v>116280</v>
      </c>
    </row>
    <row r="159" spans="1:2" x14ac:dyDescent="0.3">
      <c r="A159" s="132">
        <v>145</v>
      </c>
      <c r="B159" s="132">
        <f t="shared" si="10"/>
        <v>117100</v>
      </c>
    </row>
    <row r="160" spans="1:2" x14ac:dyDescent="0.3">
      <c r="A160" s="132">
        <v>146</v>
      </c>
      <c r="B160" s="132">
        <f t="shared" si="10"/>
        <v>117920</v>
      </c>
    </row>
    <row r="161" spans="1:2" x14ac:dyDescent="0.3">
      <c r="A161" s="132">
        <v>147</v>
      </c>
      <c r="B161" s="132">
        <f t="shared" si="10"/>
        <v>118740</v>
      </c>
    </row>
    <row r="162" spans="1:2" x14ac:dyDescent="0.3">
      <c r="A162" s="132">
        <v>148</v>
      </c>
      <c r="B162" s="132">
        <f t="shared" si="10"/>
        <v>119560</v>
      </c>
    </row>
    <row r="163" spans="1:2" x14ac:dyDescent="0.3">
      <c r="A163" s="132">
        <v>149</v>
      </c>
      <c r="B163" s="132">
        <f t="shared" si="10"/>
        <v>120380</v>
      </c>
    </row>
    <row r="164" spans="1:2" x14ac:dyDescent="0.3">
      <c r="A164" s="132">
        <v>150</v>
      </c>
      <c r="B164" s="132">
        <f t="shared" si="10"/>
        <v>121200</v>
      </c>
    </row>
    <row r="165" spans="1:2" x14ac:dyDescent="0.3">
      <c r="A165" s="132">
        <v>151</v>
      </c>
      <c r="B165" s="132">
        <f t="shared" si="10"/>
        <v>122020</v>
      </c>
    </row>
    <row r="166" spans="1:2" x14ac:dyDescent="0.3">
      <c r="A166" s="132">
        <v>152</v>
      </c>
      <c r="B166" s="132">
        <f t="shared" si="10"/>
        <v>122840</v>
      </c>
    </row>
    <row r="167" spans="1:2" x14ac:dyDescent="0.3">
      <c r="A167" s="132">
        <v>153</v>
      </c>
      <c r="B167" s="132">
        <f t="shared" si="10"/>
        <v>123660</v>
      </c>
    </row>
    <row r="168" spans="1:2" x14ac:dyDescent="0.3">
      <c r="A168" s="132">
        <v>154</v>
      </c>
      <c r="B168" s="132">
        <f t="shared" si="10"/>
        <v>124480</v>
      </c>
    </row>
    <row r="169" spans="1:2" x14ac:dyDescent="0.3">
      <c r="A169" s="132">
        <v>155</v>
      </c>
      <c r="B169" s="132">
        <f t="shared" si="10"/>
        <v>125300</v>
      </c>
    </row>
    <row r="170" spans="1:2" x14ac:dyDescent="0.3">
      <c r="A170" s="132">
        <v>156</v>
      </c>
      <c r="B170" s="132">
        <f t="shared" si="10"/>
        <v>126120</v>
      </c>
    </row>
    <row r="171" spans="1:2" x14ac:dyDescent="0.3">
      <c r="A171" s="132">
        <v>157</v>
      </c>
      <c r="B171" s="132">
        <f t="shared" si="10"/>
        <v>126940</v>
      </c>
    </row>
    <row r="172" spans="1:2" x14ac:dyDescent="0.3">
      <c r="A172" s="132">
        <v>158</v>
      </c>
      <c r="B172" s="132">
        <f t="shared" si="10"/>
        <v>127760</v>
      </c>
    </row>
    <row r="173" spans="1:2" x14ac:dyDescent="0.3">
      <c r="A173" s="132">
        <v>159</v>
      </c>
      <c r="B173" s="132">
        <f t="shared" si="10"/>
        <v>128580</v>
      </c>
    </row>
    <row r="174" spans="1:2" x14ac:dyDescent="0.3">
      <c r="A174" s="132">
        <v>160</v>
      </c>
      <c r="B174" s="132">
        <f t="shared" si="10"/>
        <v>129400</v>
      </c>
    </row>
    <row r="175" spans="1:2" x14ac:dyDescent="0.3">
      <c r="A175" s="132">
        <v>161</v>
      </c>
      <c r="B175" s="132">
        <f t="shared" si="10"/>
        <v>130220</v>
      </c>
    </row>
    <row r="176" spans="1:2" x14ac:dyDescent="0.3">
      <c r="A176" s="132">
        <v>162</v>
      </c>
      <c r="B176" s="132">
        <f t="shared" si="10"/>
        <v>131040</v>
      </c>
    </row>
    <row r="177" spans="1:2" x14ac:dyDescent="0.3">
      <c r="A177" s="132">
        <v>163</v>
      </c>
      <c r="B177" s="132">
        <f t="shared" si="10"/>
        <v>131860</v>
      </c>
    </row>
    <row r="178" spans="1:2" x14ac:dyDescent="0.3">
      <c r="A178" s="132">
        <v>164</v>
      </c>
      <c r="B178" s="132">
        <f t="shared" si="10"/>
        <v>132680</v>
      </c>
    </row>
    <row r="179" spans="1:2" x14ac:dyDescent="0.3">
      <c r="A179" s="132">
        <v>165</v>
      </c>
      <c r="B179" s="132">
        <f t="shared" si="10"/>
        <v>133500</v>
      </c>
    </row>
    <row r="180" spans="1:2" x14ac:dyDescent="0.3">
      <c r="A180" s="132">
        <v>166</v>
      </c>
      <c r="B180" s="132">
        <f t="shared" si="10"/>
        <v>134320</v>
      </c>
    </row>
    <row r="181" spans="1:2" x14ac:dyDescent="0.3">
      <c r="A181" s="132">
        <v>167</v>
      </c>
      <c r="B181" s="132">
        <f t="shared" si="10"/>
        <v>135140</v>
      </c>
    </row>
    <row r="182" spans="1:2" x14ac:dyDescent="0.3">
      <c r="A182" s="132">
        <v>168</v>
      </c>
      <c r="B182" s="132">
        <f t="shared" si="10"/>
        <v>135960</v>
      </c>
    </row>
    <row r="183" spans="1:2" x14ac:dyDescent="0.3">
      <c r="A183" s="132">
        <v>169</v>
      </c>
      <c r="B183" s="132">
        <f t="shared" si="10"/>
        <v>136780</v>
      </c>
    </row>
    <row r="184" spans="1:2" x14ac:dyDescent="0.3">
      <c r="A184" s="132">
        <v>170</v>
      </c>
      <c r="B184" s="132">
        <f t="shared" si="10"/>
        <v>137600</v>
      </c>
    </row>
    <row r="185" spans="1:2" x14ac:dyDescent="0.3">
      <c r="A185" s="132">
        <v>171</v>
      </c>
      <c r="B185" s="132">
        <f t="shared" si="10"/>
        <v>138420</v>
      </c>
    </row>
    <row r="186" spans="1:2" x14ac:dyDescent="0.3">
      <c r="A186" s="132">
        <v>172</v>
      </c>
      <c r="B186" s="132">
        <f t="shared" si="10"/>
        <v>139240</v>
      </c>
    </row>
    <row r="187" spans="1:2" x14ac:dyDescent="0.3">
      <c r="A187" s="132">
        <v>173</v>
      </c>
      <c r="B187" s="132">
        <f t="shared" si="10"/>
        <v>140060</v>
      </c>
    </row>
    <row r="188" spans="1:2" x14ac:dyDescent="0.3">
      <c r="A188" s="132">
        <v>174</v>
      </c>
      <c r="B188" s="132">
        <f t="shared" si="10"/>
        <v>140880</v>
      </c>
    </row>
    <row r="189" spans="1:2" x14ac:dyDescent="0.3">
      <c r="A189" s="132">
        <v>175</v>
      </c>
      <c r="B189" s="132">
        <f t="shared" si="10"/>
        <v>141700</v>
      </c>
    </row>
    <row r="190" spans="1:2" x14ac:dyDescent="0.3">
      <c r="A190" s="132">
        <v>176</v>
      </c>
      <c r="B190" s="132">
        <f t="shared" ref="B190:B213" si="11">B189+820</f>
        <v>142520</v>
      </c>
    </row>
    <row r="191" spans="1:2" x14ac:dyDescent="0.3">
      <c r="A191" s="132">
        <v>177</v>
      </c>
      <c r="B191" s="132">
        <f t="shared" si="11"/>
        <v>143340</v>
      </c>
    </row>
    <row r="192" spans="1:2" x14ac:dyDescent="0.3">
      <c r="A192" s="132">
        <v>178</v>
      </c>
      <c r="B192" s="132">
        <f t="shared" si="11"/>
        <v>144160</v>
      </c>
    </row>
    <row r="193" spans="1:2" x14ac:dyDescent="0.3">
      <c r="A193" s="132">
        <v>179</v>
      </c>
      <c r="B193" s="132">
        <f t="shared" si="11"/>
        <v>144980</v>
      </c>
    </row>
    <row r="194" spans="1:2" x14ac:dyDescent="0.3">
      <c r="A194" s="132">
        <v>180</v>
      </c>
      <c r="B194" s="132">
        <f t="shared" si="11"/>
        <v>145800</v>
      </c>
    </row>
    <row r="195" spans="1:2" x14ac:dyDescent="0.3">
      <c r="A195" s="132">
        <v>181</v>
      </c>
      <c r="B195" s="132">
        <f t="shared" si="11"/>
        <v>146620</v>
      </c>
    </row>
    <row r="196" spans="1:2" x14ac:dyDescent="0.3">
      <c r="A196" s="132">
        <v>182</v>
      </c>
      <c r="B196" s="132">
        <f t="shared" si="11"/>
        <v>147440</v>
      </c>
    </row>
    <row r="197" spans="1:2" x14ac:dyDescent="0.3">
      <c r="A197" s="132">
        <v>183</v>
      </c>
      <c r="B197" s="132">
        <f t="shared" si="11"/>
        <v>148260</v>
      </c>
    </row>
    <row r="198" spans="1:2" x14ac:dyDescent="0.3">
      <c r="A198" s="132">
        <v>184</v>
      </c>
      <c r="B198" s="132">
        <f t="shared" si="11"/>
        <v>149080</v>
      </c>
    </row>
    <row r="199" spans="1:2" x14ac:dyDescent="0.3">
      <c r="A199" s="132">
        <v>185</v>
      </c>
      <c r="B199" s="132">
        <f t="shared" si="11"/>
        <v>149900</v>
      </c>
    </row>
    <row r="200" spans="1:2" x14ac:dyDescent="0.3">
      <c r="A200" s="132">
        <v>186</v>
      </c>
      <c r="B200" s="132">
        <f t="shared" si="11"/>
        <v>150720</v>
      </c>
    </row>
    <row r="201" spans="1:2" x14ac:dyDescent="0.3">
      <c r="A201" s="132">
        <v>187</v>
      </c>
      <c r="B201" s="132">
        <f t="shared" si="11"/>
        <v>151540</v>
      </c>
    </row>
    <row r="202" spans="1:2" x14ac:dyDescent="0.3">
      <c r="A202" s="132">
        <v>188</v>
      </c>
      <c r="B202" s="132">
        <f t="shared" si="11"/>
        <v>152360</v>
      </c>
    </row>
    <row r="203" spans="1:2" x14ac:dyDescent="0.3">
      <c r="A203" s="132">
        <v>189</v>
      </c>
      <c r="B203" s="132">
        <f t="shared" si="11"/>
        <v>153180</v>
      </c>
    </row>
    <row r="204" spans="1:2" x14ac:dyDescent="0.3">
      <c r="A204" s="132">
        <v>190</v>
      </c>
      <c r="B204" s="132">
        <f t="shared" si="11"/>
        <v>154000</v>
      </c>
    </row>
    <row r="205" spans="1:2" x14ac:dyDescent="0.3">
      <c r="A205" s="132">
        <v>191</v>
      </c>
      <c r="B205" s="132">
        <f t="shared" si="11"/>
        <v>154820</v>
      </c>
    </row>
    <row r="206" spans="1:2" x14ac:dyDescent="0.3">
      <c r="A206" s="132">
        <v>192</v>
      </c>
      <c r="B206" s="132">
        <f t="shared" si="11"/>
        <v>155640</v>
      </c>
    </row>
    <row r="207" spans="1:2" x14ac:dyDescent="0.3">
      <c r="A207" s="132">
        <v>193</v>
      </c>
      <c r="B207" s="132">
        <f t="shared" si="11"/>
        <v>156460</v>
      </c>
    </row>
    <row r="208" spans="1:2" x14ac:dyDescent="0.3">
      <c r="A208" s="132">
        <v>194</v>
      </c>
      <c r="B208" s="132">
        <f t="shared" si="11"/>
        <v>157280</v>
      </c>
    </row>
    <row r="209" spans="1:2" x14ac:dyDescent="0.3">
      <c r="A209" s="132">
        <v>195</v>
      </c>
      <c r="B209" s="132">
        <f t="shared" si="11"/>
        <v>158100</v>
      </c>
    </row>
    <row r="210" spans="1:2" x14ac:dyDescent="0.3">
      <c r="A210" s="132">
        <v>196</v>
      </c>
      <c r="B210" s="132">
        <f t="shared" si="11"/>
        <v>158920</v>
      </c>
    </row>
    <row r="211" spans="1:2" x14ac:dyDescent="0.3">
      <c r="A211" s="132">
        <v>197</v>
      </c>
      <c r="B211" s="132">
        <f t="shared" si="11"/>
        <v>159740</v>
      </c>
    </row>
    <row r="212" spans="1:2" x14ac:dyDescent="0.3">
      <c r="A212" s="132">
        <v>198</v>
      </c>
      <c r="B212" s="132">
        <f t="shared" si="11"/>
        <v>160560</v>
      </c>
    </row>
    <row r="213" spans="1:2" x14ac:dyDescent="0.3">
      <c r="A213" s="132">
        <v>199</v>
      </c>
      <c r="B213" s="132">
        <f t="shared" si="11"/>
        <v>161380</v>
      </c>
    </row>
    <row r="214" spans="1:2" x14ac:dyDescent="0.3">
      <c r="A214" s="133">
        <v>200</v>
      </c>
      <c r="B214" s="133">
        <f t="shared" ref="B214:B236" si="12">B213+700</f>
        <v>162080</v>
      </c>
    </row>
    <row r="215" spans="1:2" x14ac:dyDescent="0.3">
      <c r="A215" s="133">
        <v>201</v>
      </c>
      <c r="B215" s="133">
        <f t="shared" si="12"/>
        <v>162780</v>
      </c>
    </row>
    <row r="216" spans="1:2" x14ac:dyDescent="0.3">
      <c r="A216" s="133">
        <v>202</v>
      </c>
      <c r="B216" s="133">
        <f t="shared" si="12"/>
        <v>163480</v>
      </c>
    </row>
    <row r="217" spans="1:2" x14ac:dyDescent="0.3">
      <c r="A217" s="133">
        <v>203</v>
      </c>
      <c r="B217" s="133">
        <f t="shared" si="12"/>
        <v>164180</v>
      </c>
    </row>
    <row r="218" spans="1:2" x14ac:dyDescent="0.3">
      <c r="A218" s="133">
        <v>204</v>
      </c>
      <c r="B218" s="133">
        <f t="shared" si="12"/>
        <v>164880</v>
      </c>
    </row>
    <row r="219" spans="1:2" x14ac:dyDescent="0.3">
      <c r="A219" s="133">
        <v>205</v>
      </c>
      <c r="B219" s="133">
        <f t="shared" si="12"/>
        <v>165580</v>
      </c>
    </row>
    <row r="220" spans="1:2" x14ac:dyDescent="0.3">
      <c r="A220" s="133">
        <v>206</v>
      </c>
      <c r="B220" s="133">
        <f t="shared" si="12"/>
        <v>166280</v>
      </c>
    </row>
    <row r="221" spans="1:2" x14ac:dyDescent="0.3">
      <c r="A221" s="133">
        <v>207</v>
      </c>
      <c r="B221" s="133">
        <f t="shared" si="12"/>
        <v>166980</v>
      </c>
    </row>
    <row r="222" spans="1:2" x14ac:dyDescent="0.3">
      <c r="A222" s="133">
        <v>208</v>
      </c>
      <c r="B222" s="133">
        <f t="shared" si="12"/>
        <v>167680</v>
      </c>
    </row>
    <row r="223" spans="1:2" x14ac:dyDescent="0.3">
      <c r="A223" s="133">
        <v>209</v>
      </c>
      <c r="B223" s="133">
        <f t="shared" si="12"/>
        <v>168380</v>
      </c>
    </row>
    <row r="224" spans="1:2" x14ac:dyDescent="0.3">
      <c r="A224" s="133">
        <v>210</v>
      </c>
      <c r="B224" s="133">
        <f t="shared" si="12"/>
        <v>169080</v>
      </c>
    </row>
    <row r="225" spans="1:2" x14ac:dyDescent="0.3">
      <c r="A225" s="133">
        <v>211</v>
      </c>
      <c r="B225" s="133">
        <f t="shared" si="12"/>
        <v>169780</v>
      </c>
    </row>
    <row r="226" spans="1:2" x14ac:dyDescent="0.3">
      <c r="A226" s="133">
        <v>212</v>
      </c>
      <c r="B226" s="133">
        <f t="shared" si="12"/>
        <v>170480</v>
      </c>
    </row>
    <row r="227" spans="1:2" x14ac:dyDescent="0.3">
      <c r="A227" s="133">
        <v>213</v>
      </c>
      <c r="B227" s="133">
        <f t="shared" si="12"/>
        <v>171180</v>
      </c>
    </row>
    <row r="228" spans="1:2" x14ac:dyDescent="0.3">
      <c r="A228" s="133">
        <v>214</v>
      </c>
      <c r="B228" s="133">
        <f t="shared" si="12"/>
        <v>171880</v>
      </c>
    </row>
    <row r="229" spans="1:2" x14ac:dyDescent="0.3">
      <c r="A229" s="133">
        <v>215</v>
      </c>
      <c r="B229" s="133">
        <f t="shared" si="12"/>
        <v>172580</v>
      </c>
    </row>
    <row r="230" spans="1:2" x14ac:dyDescent="0.3">
      <c r="A230" s="133">
        <v>216</v>
      </c>
      <c r="B230" s="133">
        <f t="shared" si="12"/>
        <v>173280</v>
      </c>
    </row>
    <row r="231" spans="1:2" x14ac:dyDescent="0.3">
      <c r="A231" s="133">
        <v>217</v>
      </c>
      <c r="B231" s="133">
        <f t="shared" si="12"/>
        <v>173980</v>
      </c>
    </row>
    <row r="232" spans="1:2" x14ac:dyDescent="0.3">
      <c r="A232" s="133">
        <v>218</v>
      </c>
      <c r="B232" s="133">
        <f t="shared" si="12"/>
        <v>174680</v>
      </c>
    </row>
    <row r="233" spans="1:2" x14ac:dyDescent="0.3">
      <c r="A233" s="133">
        <v>219</v>
      </c>
      <c r="B233" s="133">
        <f t="shared" si="12"/>
        <v>175380</v>
      </c>
    </row>
    <row r="234" spans="1:2" x14ac:dyDescent="0.3">
      <c r="A234" s="133">
        <v>220</v>
      </c>
      <c r="B234" s="133">
        <f t="shared" si="12"/>
        <v>176080</v>
      </c>
    </row>
    <row r="235" spans="1:2" x14ac:dyDescent="0.3">
      <c r="A235" s="133">
        <v>221</v>
      </c>
      <c r="B235" s="133">
        <f t="shared" si="12"/>
        <v>176780</v>
      </c>
    </row>
    <row r="236" spans="1:2" x14ac:dyDescent="0.3">
      <c r="A236" s="133">
        <v>222</v>
      </c>
      <c r="B236" s="133">
        <f t="shared" si="12"/>
        <v>177480</v>
      </c>
    </row>
  </sheetData>
  <phoneticPr fontId="1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N67"/>
  <sheetViews>
    <sheetView topLeftCell="A52" zoomScaleNormal="100" workbookViewId="0">
      <selection activeCell="I36" sqref="I36"/>
    </sheetView>
  </sheetViews>
  <sheetFormatPr defaultRowHeight="16.5" x14ac:dyDescent="0.3"/>
  <cols>
    <col min="1" max="2" width="12.625" customWidth="1"/>
    <col min="3" max="6" width="12.625" style="4" customWidth="1"/>
    <col min="7" max="7" width="12.375" style="4" customWidth="1"/>
    <col min="8" max="9" width="11.625" customWidth="1"/>
    <col min="10" max="14" width="10.75" customWidth="1"/>
    <col min="15" max="1025" width="8.625" customWidth="1"/>
  </cols>
  <sheetData>
    <row r="2" spans="1:11" x14ac:dyDescent="0.3">
      <c r="A2" s="50" t="s">
        <v>235</v>
      </c>
      <c r="B2" s="4"/>
      <c r="E2" s="51" t="s">
        <v>322</v>
      </c>
      <c r="H2" s="4"/>
      <c r="I2" t="s">
        <v>323</v>
      </c>
    </row>
    <row r="3" spans="1:11" x14ac:dyDescent="0.3">
      <c r="A3" s="55" t="s">
        <v>237</v>
      </c>
      <c r="B3" s="55" t="s">
        <v>238</v>
      </c>
      <c r="C3" s="55" t="s">
        <v>239</v>
      </c>
      <c r="D3" s="4">
        <v>1</v>
      </c>
      <c r="E3" s="97" t="s">
        <v>243</v>
      </c>
      <c r="F3" s="97" t="s">
        <v>246</v>
      </c>
      <c r="G3" s="55" t="s">
        <v>249</v>
      </c>
      <c r="H3" s="55" t="s">
        <v>324</v>
      </c>
      <c r="I3" s="55" t="s">
        <v>244</v>
      </c>
      <c r="J3" s="55" t="s">
        <v>247</v>
      </c>
      <c r="K3" s="55" t="s">
        <v>255</v>
      </c>
    </row>
    <row r="4" spans="1:11" x14ac:dyDescent="0.3">
      <c r="A4" s="32" t="s">
        <v>317</v>
      </c>
      <c r="B4" s="56">
        <v>35.94</v>
      </c>
      <c r="C4" s="84">
        <v>0</v>
      </c>
      <c r="D4" s="4">
        <v>2</v>
      </c>
      <c r="E4" s="84"/>
      <c r="F4" s="10">
        <v>436.6</v>
      </c>
      <c r="G4" s="10"/>
      <c r="H4" s="11"/>
      <c r="I4" s="11"/>
      <c r="J4" s="11"/>
      <c r="K4" s="11"/>
    </row>
    <row r="5" spans="1:11" x14ac:dyDescent="0.3">
      <c r="A5" s="32" t="s">
        <v>316</v>
      </c>
      <c r="B5" s="56">
        <v>33.340000000000003</v>
      </c>
      <c r="C5" s="84">
        <v>0</v>
      </c>
      <c r="D5" s="4">
        <v>3</v>
      </c>
      <c r="E5" s="84"/>
      <c r="F5" s="10"/>
      <c r="G5" s="10"/>
      <c r="H5" s="11"/>
      <c r="I5" s="11"/>
      <c r="J5" s="11"/>
      <c r="K5" s="11"/>
    </row>
    <row r="6" spans="1:11" x14ac:dyDescent="0.3">
      <c r="A6" s="10" t="s">
        <v>315</v>
      </c>
      <c r="B6" s="56">
        <v>31.07</v>
      </c>
      <c r="C6" s="22">
        <f t="shared" ref="C6:C11" si="0">K6</f>
        <v>1156.44</v>
      </c>
      <c r="D6" s="4">
        <v>4</v>
      </c>
      <c r="E6" s="84">
        <v>267.8</v>
      </c>
      <c r="F6" s="10"/>
      <c r="G6" s="10">
        <v>52.04</v>
      </c>
      <c r="H6" s="11"/>
      <c r="I6" s="10">
        <v>200</v>
      </c>
      <c r="J6" s="10">
        <v>200</v>
      </c>
      <c r="K6" s="98">
        <f>SUM(E4:J6)</f>
        <v>1156.44</v>
      </c>
    </row>
    <row r="7" spans="1:11" x14ac:dyDescent="0.3">
      <c r="A7" s="10" t="s">
        <v>252</v>
      </c>
      <c r="B7" s="56">
        <v>28.8</v>
      </c>
      <c r="C7" s="22">
        <f t="shared" si="0"/>
        <v>876.6</v>
      </c>
      <c r="D7" s="4">
        <v>5</v>
      </c>
      <c r="E7" s="22"/>
      <c r="F7" s="10"/>
      <c r="G7" s="10"/>
      <c r="H7" s="10">
        <f>730.5*120%</f>
        <v>876.6</v>
      </c>
      <c r="I7" s="11"/>
      <c r="J7" s="11"/>
      <c r="K7" s="98">
        <f>SUM(E7:J7)</f>
        <v>876.6</v>
      </c>
    </row>
    <row r="8" spans="1:11" x14ac:dyDescent="0.3">
      <c r="A8" s="10" t="s">
        <v>250</v>
      </c>
      <c r="B8" s="56">
        <v>26.4</v>
      </c>
      <c r="C8" s="22">
        <f t="shared" si="0"/>
        <v>561</v>
      </c>
      <c r="D8" s="4">
        <v>6</v>
      </c>
      <c r="E8" s="22"/>
      <c r="F8" s="10"/>
      <c r="G8" s="10"/>
      <c r="H8" s="10">
        <f>467.5*120%</f>
        <v>561</v>
      </c>
      <c r="I8" s="11"/>
      <c r="J8" s="11"/>
      <c r="K8" s="98">
        <f>SUM(E8:J8)</f>
        <v>561</v>
      </c>
    </row>
    <row r="9" spans="1:11" x14ac:dyDescent="0.3">
      <c r="A9" s="10" t="s">
        <v>248</v>
      </c>
      <c r="B9" s="56">
        <v>23.68</v>
      </c>
      <c r="C9" s="22">
        <f t="shared" si="0"/>
        <v>529.07000000000005</v>
      </c>
      <c r="D9" s="4">
        <v>7</v>
      </c>
      <c r="E9" s="22"/>
      <c r="F9" s="10"/>
      <c r="G9" s="10">
        <v>422.7</v>
      </c>
      <c r="H9" s="10">
        <f>96.7*110%</f>
        <v>106.37000000000002</v>
      </c>
      <c r="I9" s="11"/>
      <c r="J9" s="11"/>
      <c r="K9" s="98">
        <f>SUM(E9:J9)</f>
        <v>529.07000000000005</v>
      </c>
    </row>
    <row r="10" spans="1:11" x14ac:dyDescent="0.3">
      <c r="A10" s="10" t="s">
        <v>245</v>
      </c>
      <c r="B10" s="56">
        <v>20.94</v>
      </c>
      <c r="C10" s="22">
        <f t="shared" si="0"/>
        <v>686.64</v>
      </c>
      <c r="D10" s="4">
        <v>8</v>
      </c>
      <c r="E10" s="22"/>
      <c r="F10" s="10"/>
      <c r="G10" s="10"/>
      <c r="H10" s="10">
        <f>572.2*120%</f>
        <v>686.64</v>
      </c>
      <c r="I10" s="11"/>
      <c r="J10" s="11"/>
      <c r="K10" s="98">
        <f>SUM(E10:J10)</f>
        <v>686.64</v>
      </c>
    </row>
    <row r="11" spans="1:11" x14ac:dyDescent="0.3">
      <c r="A11" s="10" t="s">
        <v>242</v>
      </c>
      <c r="B11" s="56">
        <v>17.945</v>
      </c>
      <c r="C11" s="99">
        <f t="shared" si="0"/>
        <v>558.74</v>
      </c>
      <c r="D11" s="4">
        <v>9</v>
      </c>
      <c r="E11" s="22"/>
      <c r="F11" s="10"/>
      <c r="G11" s="10">
        <v>454.1</v>
      </c>
      <c r="H11" s="10">
        <f>87.2*120%</f>
        <v>104.64</v>
      </c>
      <c r="I11" s="11"/>
      <c r="J11" s="11"/>
      <c r="K11" s="98">
        <f>SUM(E11:J11)</f>
        <v>558.74</v>
      </c>
    </row>
    <row r="12" spans="1:11" x14ac:dyDescent="0.3">
      <c r="A12" s="10" t="s">
        <v>314</v>
      </c>
      <c r="B12" s="56">
        <f>14400/1000</f>
        <v>14.4</v>
      </c>
      <c r="C12" s="10">
        <v>0</v>
      </c>
      <c r="D12" s="4">
        <v>10</v>
      </c>
      <c r="E12" s="22"/>
      <c r="F12" s="10"/>
      <c r="G12" s="10"/>
      <c r="H12" s="11"/>
      <c r="I12" s="11"/>
      <c r="J12" s="11"/>
      <c r="K12" s="11"/>
    </row>
    <row r="13" spans="1:11" x14ac:dyDescent="0.3">
      <c r="A13" s="10" t="s">
        <v>313</v>
      </c>
      <c r="B13" s="56">
        <f>10750/1000</f>
        <v>10.75</v>
      </c>
      <c r="C13" s="10">
        <v>0</v>
      </c>
      <c r="D13" s="4">
        <v>11</v>
      </c>
      <c r="E13" s="22"/>
      <c r="F13" s="10"/>
      <c r="G13" s="10"/>
      <c r="H13" s="11"/>
      <c r="I13" s="11"/>
      <c r="J13" s="11"/>
      <c r="K13" s="11"/>
    </row>
    <row r="14" spans="1:11" x14ac:dyDescent="0.3">
      <c r="A14" s="10" t="s">
        <v>312</v>
      </c>
      <c r="B14" s="56">
        <f>7810/1000</f>
        <v>7.81</v>
      </c>
      <c r="C14" s="10">
        <v>0</v>
      </c>
      <c r="D14" s="4">
        <v>12</v>
      </c>
      <c r="E14" s="22"/>
      <c r="F14" s="10"/>
      <c r="G14" s="10"/>
      <c r="H14" s="11"/>
      <c r="I14" s="11"/>
      <c r="J14" s="11"/>
      <c r="K14" s="11"/>
    </row>
    <row r="15" spans="1:11" x14ac:dyDescent="0.3">
      <c r="A15" s="10" t="s">
        <v>311</v>
      </c>
      <c r="B15" s="56">
        <f>4920/1000</f>
        <v>4.92</v>
      </c>
      <c r="C15" s="10">
        <v>0</v>
      </c>
      <c r="D15" s="4">
        <v>13</v>
      </c>
      <c r="E15" s="22"/>
      <c r="F15" s="10"/>
      <c r="G15" s="10"/>
      <c r="H15" s="11"/>
      <c r="I15" s="11"/>
      <c r="J15" s="11"/>
      <c r="K15" s="11"/>
    </row>
    <row r="16" spans="1:11" x14ac:dyDescent="0.3">
      <c r="A16" s="10" t="s">
        <v>310</v>
      </c>
      <c r="B16" s="56">
        <f>2100/1000</f>
        <v>2.1</v>
      </c>
      <c r="C16" s="10">
        <v>0</v>
      </c>
      <c r="D16" s="4">
        <v>14</v>
      </c>
      <c r="E16" s="22"/>
      <c r="F16" s="10"/>
      <c r="G16" s="10"/>
      <c r="H16" s="11"/>
      <c r="I16" s="11"/>
      <c r="J16" s="11"/>
      <c r="K16" s="11"/>
    </row>
    <row r="17" spans="1:12" x14ac:dyDescent="0.3">
      <c r="A17" s="55" t="s">
        <v>255</v>
      </c>
      <c r="B17" s="55"/>
      <c r="C17" s="55">
        <f>SUM(C6:C16)</f>
        <v>4368.49</v>
      </c>
      <c r="E17" s="55"/>
      <c r="F17" s="55"/>
      <c r="G17" s="55"/>
      <c r="H17" s="55"/>
      <c r="I17" s="55"/>
      <c r="J17" s="55"/>
      <c r="K17" s="55"/>
    </row>
    <row r="19" spans="1:12" x14ac:dyDescent="0.3">
      <c r="A19" s="50" t="s">
        <v>257</v>
      </c>
    </row>
    <row r="20" spans="1:12" x14ac:dyDescent="0.3">
      <c r="A20" s="1" t="s">
        <v>383</v>
      </c>
      <c r="B20" s="1"/>
      <c r="C20" s="1"/>
      <c r="D20" s="1"/>
      <c r="E20" s="1"/>
      <c r="F20" s="1"/>
      <c r="G20" s="1"/>
      <c r="H20" s="55" t="s">
        <v>259</v>
      </c>
      <c r="I20" s="55" t="s">
        <v>260</v>
      </c>
      <c r="J20" s="55" t="s">
        <v>262</v>
      </c>
      <c r="K20" s="55" t="s">
        <v>263</v>
      </c>
      <c r="L20" s="55" t="s">
        <v>264</v>
      </c>
    </row>
    <row r="21" spans="1:12" x14ac:dyDescent="0.3">
      <c r="A21" s="80" t="s">
        <v>267</v>
      </c>
      <c r="B21" s="81"/>
      <c r="C21" s="134"/>
      <c r="D21" s="134"/>
      <c r="E21" s="134"/>
      <c r="F21" s="134"/>
      <c r="G21" s="135"/>
      <c r="H21" s="10">
        <v>8.7200000000000006</v>
      </c>
      <c r="I21" s="10">
        <v>1.48</v>
      </c>
      <c r="J21" s="22">
        <v>12983</v>
      </c>
      <c r="K21" s="22">
        <v>12806</v>
      </c>
      <c r="L21" s="22">
        <f t="shared" ref="L21:L32" si="1">J21+K21</f>
        <v>25789</v>
      </c>
    </row>
    <row r="22" spans="1:12" x14ac:dyDescent="0.3">
      <c r="A22" s="80" t="s">
        <v>269</v>
      </c>
      <c r="B22" s="134"/>
      <c r="C22" s="134"/>
      <c r="D22" s="134"/>
      <c r="E22" s="134"/>
      <c r="F22" s="134"/>
      <c r="G22" s="135"/>
      <c r="H22" s="10">
        <v>8.7200000000000006</v>
      </c>
      <c r="I22" s="10">
        <v>1.97</v>
      </c>
      <c r="J22" s="22">
        <v>12983</v>
      </c>
      <c r="K22" s="22">
        <v>12806</v>
      </c>
      <c r="L22" s="22">
        <f t="shared" si="1"/>
        <v>25789</v>
      </c>
    </row>
    <row r="23" spans="1:12" x14ac:dyDescent="0.3">
      <c r="A23" s="80" t="s">
        <v>271</v>
      </c>
      <c r="B23" s="134"/>
      <c r="C23" s="134"/>
      <c r="D23" s="134"/>
      <c r="E23" s="134"/>
      <c r="F23" s="134"/>
      <c r="G23" s="135"/>
      <c r="H23" s="10">
        <v>8.7200000000000006</v>
      </c>
      <c r="I23" s="10">
        <v>1.48</v>
      </c>
      <c r="J23" s="22">
        <v>12983</v>
      </c>
      <c r="K23" s="22">
        <v>12806</v>
      </c>
      <c r="L23" s="22">
        <f t="shared" si="1"/>
        <v>25789</v>
      </c>
    </row>
    <row r="24" spans="1:12" x14ac:dyDescent="0.3">
      <c r="A24" s="80" t="s">
        <v>273</v>
      </c>
      <c r="B24" s="134"/>
      <c r="C24" s="134"/>
      <c r="D24" s="134"/>
      <c r="E24" s="134"/>
      <c r="F24" s="134"/>
      <c r="G24" s="135"/>
      <c r="H24" s="10">
        <v>8.7200000000000006</v>
      </c>
      <c r="I24" s="10">
        <v>1.76</v>
      </c>
      <c r="J24" s="22">
        <v>12983</v>
      </c>
      <c r="K24" s="22">
        <v>12806</v>
      </c>
      <c r="L24" s="22">
        <f t="shared" si="1"/>
        <v>25789</v>
      </c>
    </row>
    <row r="25" spans="1:12" x14ac:dyDescent="0.3">
      <c r="A25" s="80" t="s">
        <v>275</v>
      </c>
      <c r="B25" s="134"/>
      <c r="C25" s="134"/>
      <c r="D25" s="134"/>
      <c r="E25" s="134"/>
      <c r="F25" s="134"/>
      <c r="G25" s="135"/>
      <c r="H25" s="10">
        <v>8.7200000000000006</v>
      </c>
      <c r="I25" s="10">
        <v>2.1</v>
      </c>
      <c r="J25" s="22">
        <v>12983</v>
      </c>
      <c r="K25" s="22">
        <v>12806</v>
      </c>
      <c r="L25" s="22">
        <f t="shared" si="1"/>
        <v>25789</v>
      </c>
    </row>
    <row r="26" spans="1:12" x14ac:dyDescent="0.3">
      <c r="A26" s="80" t="s">
        <v>326</v>
      </c>
      <c r="B26" s="134"/>
      <c r="C26" s="134"/>
      <c r="D26" s="134"/>
      <c r="E26" s="134"/>
      <c r="F26" s="134"/>
      <c r="G26" s="135"/>
      <c r="H26" s="10">
        <v>8.15</v>
      </c>
      <c r="I26" s="10">
        <v>3.07</v>
      </c>
      <c r="J26" s="22">
        <v>12983</v>
      </c>
      <c r="K26" s="22">
        <v>10370</v>
      </c>
      <c r="L26" s="22">
        <f t="shared" si="1"/>
        <v>23353</v>
      </c>
    </row>
    <row r="27" spans="1:12" x14ac:dyDescent="0.3">
      <c r="A27" s="80" t="s">
        <v>277</v>
      </c>
      <c r="B27" s="134"/>
      <c r="C27" s="134"/>
      <c r="D27" s="134"/>
      <c r="E27" s="134"/>
      <c r="F27" s="134"/>
      <c r="G27" s="135"/>
      <c r="H27" s="10">
        <v>8.7200000000000006</v>
      </c>
      <c r="I27" s="10">
        <v>1.87</v>
      </c>
      <c r="J27" s="22">
        <v>12983</v>
      </c>
      <c r="K27" s="22">
        <v>12806</v>
      </c>
      <c r="L27" s="22">
        <f t="shared" si="1"/>
        <v>25789</v>
      </c>
    </row>
    <row r="28" spans="1:12" x14ac:dyDescent="0.3">
      <c r="A28" s="80" t="s">
        <v>279</v>
      </c>
      <c r="B28" s="134"/>
      <c r="C28" s="134"/>
      <c r="D28" s="134"/>
      <c r="E28" s="134"/>
      <c r="F28" s="134"/>
      <c r="G28" s="135"/>
      <c r="H28" s="10">
        <v>8.7200000000000006</v>
      </c>
      <c r="I28" s="10">
        <v>2.0299999999999998</v>
      </c>
      <c r="J28" s="22">
        <v>12983</v>
      </c>
      <c r="K28" s="22">
        <v>12806</v>
      </c>
      <c r="L28" s="22">
        <f t="shared" si="1"/>
        <v>25789</v>
      </c>
    </row>
    <row r="29" spans="1:12" x14ac:dyDescent="0.3">
      <c r="A29" s="80" t="s">
        <v>281</v>
      </c>
      <c r="B29" s="134"/>
      <c r="C29" s="134"/>
      <c r="D29" s="134"/>
      <c r="E29" s="134"/>
      <c r="F29" s="134"/>
      <c r="G29" s="135"/>
      <c r="H29" s="10">
        <v>8.7200000000000006</v>
      </c>
      <c r="I29" s="10">
        <v>1.98</v>
      </c>
      <c r="J29" s="22">
        <v>12983</v>
      </c>
      <c r="K29" s="22">
        <v>12806</v>
      </c>
      <c r="L29" s="22">
        <f t="shared" si="1"/>
        <v>25789</v>
      </c>
    </row>
    <row r="30" spans="1:12" x14ac:dyDescent="0.3">
      <c r="A30" s="80" t="s">
        <v>283</v>
      </c>
      <c r="B30" s="134"/>
      <c r="C30" s="134"/>
      <c r="D30" s="134"/>
      <c r="E30" s="134"/>
      <c r="F30" s="134"/>
      <c r="G30" s="135"/>
      <c r="H30" s="10">
        <v>8.7100000000000009</v>
      </c>
      <c r="I30" s="10">
        <v>1.96</v>
      </c>
      <c r="J30" s="22">
        <v>12983</v>
      </c>
      <c r="K30" s="22">
        <v>12750</v>
      </c>
      <c r="L30" s="22">
        <f t="shared" si="1"/>
        <v>25733</v>
      </c>
    </row>
    <row r="31" spans="1:12" x14ac:dyDescent="0.3">
      <c r="A31" s="80" t="s">
        <v>285</v>
      </c>
      <c r="B31" s="134"/>
      <c r="C31" s="134"/>
      <c r="D31" s="134"/>
      <c r="E31" s="134"/>
      <c r="F31" s="134"/>
      <c r="G31" s="135"/>
      <c r="H31" s="10">
        <v>8.7200000000000006</v>
      </c>
      <c r="I31" s="10">
        <v>1.87</v>
      </c>
      <c r="J31" s="22">
        <v>12983</v>
      </c>
      <c r="K31" s="22">
        <v>12806</v>
      </c>
      <c r="L31" s="22">
        <f t="shared" si="1"/>
        <v>25789</v>
      </c>
    </row>
    <row r="32" spans="1:12" x14ac:dyDescent="0.3">
      <c r="A32" s="80" t="s">
        <v>287</v>
      </c>
      <c r="B32" s="134"/>
      <c r="C32" s="134"/>
      <c r="D32" s="134"/>
      <c r="E32" s="134"/>
      <c r="F32" s="134"/>
      <c r="G32" s="135"/>
      <c r="H32" s="10">
        <v>8.66</v>
      </c>
      <c r="I32" s="10">
        <v>2.02</v>
      </c>
      <c r="J32" s="22">
        <v>12983</v>
      </c>
      <c r="K32" s="22">
        <v>12552</v>
      </c>
      <c r="L32" s="22">
        <f t="shared" si="1"/>
        <v>25535</v>
      </c>
    </row>
    <row r="34" spans="1:14" x14ac:dyDescent="0.3">
      <c r="A34" s="89" t="s">
        <v>301</v>
      </c>
    </row>
    <row r="35" spans="1:14" x14ac:dyDescent="0.3">
      <c r="A35" s="55" t="s">
        <v>237</v>
      </c>
      <c r="B35" s="55" t="s">
        <v>289</v>
      </c>
      <c r="C35" s="55" t="s">
        <v>290</v>
      </c>
      <c r="D35" s="55" t="s">
        <v>291</v>
      </c>
      <c r="E35" s="55" t="s">
        <v>292</v>
      </c>
      <c r="F35" s="55" t="s">
        <v>293</v>
      </c>
      <c r="G35" s="55" t="s">
        <v>327</v>
      </c>
      <c r="H35" s="55" t="s">
        <v>294</v>
      </c>
      <c r="I35" s="55" t="s">
        <v>295</v>
      </c>
      <c r="J35" s="55" t="s">
        <v>296</v>
      </c>
      <c r="K35" s="55" t="s">
        <v>297</v>
      </c>
      <c r="L35" s="55" t="s">
        <v>298</v>
      </c>
      <c r="M35" s="55" t="s">
        <v>299</v>
      </c>
    </row>
    <row r="36" spans="1:14" x14ac:dyDescent="0.3">
      <c r="A36" s="32" t="s">
        <v>317</v>
      </c>
      <c r="B36" s="32">
        <v>0</v>
      </c>
      <c r="C36" s="32">
        <v>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32">
        <v>0</v>
      </c>
      <c r="N36" s="83"/>
    </row>
    <row r="37" spans="1:14" x14ac:dyDescent="0.3">
      <c r="A37" s="32" t="s">
        <v>316</v>
      </c>
      <c r="B37" s="32">
        <v>0</v>
      </c>
      <c r="C37" s="32">
        <v>0</v>
      </c>
      <c r="D37" s="32">
        <v>0</v>
      </c>
      <c r="E37" s="32">
        <v>0</v>
      </c>
      <c r="F37" s="32">
        <v>0</v>
      </c>
      <c r="G37" s="32">
        <v>0</v>
      </c>
      <c r="H37" s="32">
        <v>0</v>
      </c>
      <c r="I37" s="32">
        <v>0</v>
      </c>
      <c r="J37" s="32">
        <v>0</v>
      </c>
      <c r="K37" s="32">
        <v>0</v>
      </c>
      <c r="L37" s="32">
        <v>0</v>
      </c>
      <c r="M37" s="32">
        <v>0</v>
      </c>
      <c r="N37" s="83"/>
    </row>
    <row r="38" spans="1:14" x14ac:dyDescent="0.3">
      <c r="A38" s="10" t="s">
        <v>315</v>
      </c>
      <c r="B38" s="10">
        <v>421</v>
      </c>
      <c r="C38" s="10">
        <v>375</v>
      </c>
      <c r="D38" s="10">
        <v>335</v>
      </c>
      <c r="E38" s="32">
        <v>375</v>
      </c>
      <c r="F38" s="10">
        <v>375</v>
      </c>
      <c r="G38" s="32">
        <v>375</v>
      </c>
      <c r="H38" s="32">
        <v>375</v>
      </c>
      <c r="I38" s="32">
        <v>375</v>
      </c>
      <c r="J38" s="32">
        <v>375</v>
      </c>
      <c r="K38" s="32">
        <v>375</v>
      </c>
      <c r="L38" s="32">
        <v>375</v>
      </c>
      <c r="M38" s="32">
        <v>375</v>
      </c>
      <c r="N38" s="83"/>
    </row>
    <row r="39" spans="1:14" x14ac:dyDescent="0.3">
      <c r="A39" s="10" t="s">
        <v>252</v>
      </c>
      <c r="B39" s="10">
        <v>392</v>
      </c>
      <c r="C39" s="10">
        <v>351</v>
      </c>
      <c r="D39" s="10">
        <v>351</v>
      </c>
      <c r="E39" s="32">
        <v>351</v>
      </c>
      <c r="F39" s="10">
        <v>351</v>
      </c>
      <c r="G39" s="32">
        <v>351</v>
      </c>
      <c r="H39" s="32">
        <v>351</v>
      </c>
      <c r="I39" s="32">
        <v>351</v>
      </c>
      <c r="J39" s="32">
        <v>351</v>
      </c>
      <c r="K39" s="32">
        <v>351</v>
      </c>
      <c r="L39" s="32">
        <v>351</v>
      </c>
      <c r="M39" s="32">
        <v>351</v>
      </c>
      <c r="N39" s="83"/>
    </row>
    <row r="40" spans="1:14" x14ac:dyDescent="0.3">
      <c r="A40" s="10" t="s">
        <v>250</v>
      </c>
      <c r="B40" s="10">
        <v>581</v>
      </c>
      <c r="C40" s="10">
        <v>536</v>
      </c>
      <c r="D40" s="10">
        <v>536</v>
      </c>
      <c r="E40" s="32">
        <v>536</v>
      </c>
      <c r="F40" s="10">
        <v>536</v>
      </c>
      <c r="G40" s="32">
        <v>536</v>
      </c>
      <c r="H40" s="32">
        <v>536</v>
      </c>
      <c r="I40" s="32">
        <v>536</v>
      </c>
      <c r="J40" s="32">
        <v>536</v>
      </c>
      <c r="K40" s="32">
        <v>536</v>
      </c>
      <c r="L40" s="32">
        <v>536</v>
      </c>
      <c r="M40" s="32">
        <v>536</v>
      </c>
      <c r="N40" s="83"/>
    </row>
    <row r="41" spans="1:14" x14ac:dyDescent="0.3">
      <c r="A41" s="10" t="s">
        <v>248</v>
      </c>
      <c r="B41" s="10">
        <v>565</v>
      </c>
      <c r="C41" s="10">
        <v>537</v>
      </c>
      <c r="D41" s="10">
        <v>536</v>
      </c>
      <c r="E41" s="11"/>
      <c r="F41" s="10"/>
      <c r="G41" s="11"/>
      <c r="H41" s="10">
        <v>537</v>
      </c>
      <c r="I41" s="10">
        <v>537</v>
      </c>
      <c r="J41" s="10">
        <v>537</v>
      </c>
      <c r="K41" s="10">
        <v>537</v>
      </c>
      <c r="L41" s="10">
        <v>537</v>
      </c>
      <c r="M41" s="10">
        <v>537</v>
      </c>
      <c r="N41" s="83"/>
    </row>
    <row r="42" spans="1:14" x14ac:dyDescent="0.3">
      <c r="A42" s="10" t="s">
        <v>245</v>
      </c>
      <c r="B42" s="10">
        <v>463</v>
      </c>
      <c r="C42" s="10">
        <v>420</v>
      </c>
      <c r="D42" s="10">
        <v>439</v>
      </c>
      <c r="E42" s="32">
        <v>77</v>
      </c>
      <c r="F42" s="10">
        <v>77</v>
      </c>
      <c r="G42" s="11"/>
      <c r="H42" s="10">
        <v>420</v>
      </c>
      <c r="I42" s="10">
        <v>420</v>
      </c>
      <c r="J42" s="10">
        <v>420</v>
      </c>
      <c r="K42" s="10">
        <v>420</v>
      </c>
      <c r="L42" s="10">
        <v>420</v>
      </c>
      <c r="M42" s="10">
        <v>420</v>
      </c>
      <c r="N42" s="83"/>
    </row>
    <row r="43" spans="1:14" x14ac:dyDescent="0.3">
      <c r="A43" s="10" t="s">
        <v>242</v>
      </c>
      <c r="B43" s="10">
        <v>527</v>
      </c>
      <c r="C43" s="10">
        <v>485</v>
      </c>
      <c r="D43" s="10">
        <v>493</v>
      </c>
      <c r="E43" s="32"/>
      <c r="F43" s="10"/>
      <c r="G43" s="11"/>
      <c r="H43" s="10">
        <v>485</v>
      </c>
      <c r="I43" s="10">
        <v>485</v>
      </c>
      <c r="J43" s="10">
        <v>485</v>
      </c>
      <c r="K43" s="10">
        <v>485</v>
      </c>
      <c r="L43" s="10">
        <v>485</v>
      </c>
      <c r="M43" s="10">
        <v>485</v>
      </c>
      <c r="N43" s="83"/>
    </row>
    <row r="44" spans="1:14" x14ac:dyDescent="0.3">
      <c r="A44" s="10" t="s">
        <v>314</v>
      </c>
      <c r="B44" s="10">
        <v>494</v>
      </c>
      <c r="C44" s="10">
        <v>460</v>
      </c>
      <c r="D44" s="10">
        <v>464</v>
      </c>
      <c r="E44" s="32">
        <v>105</v>
      </c>
      <c r="F44" s="10">
        <v>105</v>
      </c>
      <c r="G44" s="11"/>
      <c r="H44" s="10">
        <v>460</v>
      </c>
      <c r="I44" s="10">
        <v>460</v>
      </c>
      <c r="J44" s="10">
        <v>460</v>
      </c>
      <c r="K44" s="10">
        <v>460</v>
      </c>
      <c r="L44" s="10">
        <v>460</v>
      </c>
      <c r="M44" s="10">
        <v>460</v>
      </c>
      <c r="N44" s="83"/>
    </row>
    <row r="45" spans="1:14" x14ac:dyDescent="0.3">
      <c r="A45" s="10" t="s">
        <v>313</v>
      </c>
      <c r="B45" s="10">
        <v>339</v>
      </c>
      <c r="C45" s="10">
        <v>317</v>
      </c>
      <c r="D45" s="10">
        <v>323</v>
      </c>
      <c r="E45" s="32">
        <v>323</v>
      </c>
      <c r="F45" s="10"/>
      <c r="G45" s="11"/>
      <c r="H45" s="10">
        <v>317</v>
      </c>
      <c r="I45" s="10">
        <v>113</v>
      </c>
      <c r="J45" s="10">
        <v>317</v>
      </c>
      <c r="K45" s="10">
        <v>204</v>
      </c>
      <c r="L45" s="10">
        <v>317</v>
      </c>
      <c r="M45" s="11"/>
      <c r="N45" s="83"/>
    </row>
    <row r="46" spans="1:14" x14ac:dyDescent="0.3">
      <c r="A46" s="10" t="s">
        <v>312</v>
      </c>
      <c r="B46" s="10">
        <v>297</v>
      </c>
      <c r="C46" s="10">
        <v>290</v>
      </c>
      <c r="D46" s="10">
        <v>293</v>
      </c>
      <c r="E46" s="32">
        <v>293</v>
      </c>
      <c r="F46" s="10"/>
      <c r="G46" s="11"/>
      <c r="H46" s="10">
        <v>290</v>
      </c>
      <c r="I46" s="10">
        <v>113</v>
      </c>
      <c r="J46" s="10">
        <v>290</v>
      </c>
      <c r="K46" s="10">
        <v>177</v>
      </c>
      <c r="L46" s="10">
        <v>290</v>
      </c>
      <c r="M46" s="11"/>
      <c r="N46" s="83"/>
    </row>
    <row r="47" spans="1:14" x14ac:dyDescent="0.3">
      <c r="A47" s="10" t="s">
        <v>311</v>
      </c>
      <c r="B47" s="10">
        <v>175</v>
      </c>
      <c r="C47" s="10">
        <v>171</v>
      </c>
      <c r="D47" s="10">
        <v>172</v>
      </c>
      <c r="E47" s="32">
        <v>172</v>
      </c>
      <c r="F47" s="10"/>
      <c r="G47" s="11"/>
      <c r="H47" s="10">
        <v>82</v>
      </c>
      <c r="I47" s="10">
        <v>82</v>
      </c>
      <c r="J47" s="10">
        <v>89</v>
      </c>
      <c r="K47" s="10">
        <v>89</v>
      </c>
      <c r="L47" s="10"/>
      <c r="M47" s="11"/>
      <c r="N47" s="83"/>
    </row>
    <row r="48" spans="1:14" x14ac:dyDescent="0.3">
      <c r="A48" s="10" t="s">
        <v>310</v>
      </c>
      <c r="B48" s="10">
        <v>64</v>
      </c>
      <c r="C48" s="10">
        <v>60</v>
      </c>
      <c r="D48" s="10">
        <v>60</v>
      </c>
      <c r="E48" s="32">
        <v>60</v>
      </c>
      <c r="F48" s="10"/>
      <c r="G48" s="11"/>
      <c r="H48" s="10"/>
      <c r="I48" s="10"/>
      <c r="J48" s="10">
        <v>60</v>
      </c>
      <c r="K48" s="10">
        <v>60</v>
      </c>
      <c r="L48" s="10"/>
      <c r="M48" s="11"/>
      <c r="N48" s="83"/>
    </row>
    <row r="49" spans="1:13" x14ac:dyDescent="0.3">
      <c r="A49" s="55" t="s">
        <v>302</v>
      </c>
      <c r="B49" s="55">
        <f t="shared" ref="B49:M49" si="2">SUM(B38:B48)</f>
        <v>4318</v>
      </c>
      <c r="C49" s="55">
        <f t="shared" si="2"/>
        <v>4002</v>
      </c>
      <c r="D49" s="55">
        <f t="shared" si="2"/>
        <v>4002</v>
      </c>
      <c r="E49" s="55">
        <f t="shared" si="2"/>
        <v>2292</v>
      </c>
      <c r="F49" s="55">
        <f t="shared" si="2"/>
        <v>1444</v>
      </c>
      <c r="G49" s="55">
        <f t="shared" si="2"/>
        <v>1262</v>
      </c>
      <c r="H49" s="55">
        <f t="shared" si="2"/>
        <v>3853</v>
      </c>
      <c r="I49" s="55">
        <f t="shared" si="2"/>
        <v>3472</v>
      </c>
      <c r="J49" s="55">
        <f t="shared" si="2"/>
        <v>3920</v>
      </c>
      <c r="K49" s="55">
        <f t="shared" si="2"/>
        <v>3694</v>
      </c>
      <c r="L49" s="55">
        <f t="shared" si="2"/>
        <v>3771</v>
      </c>
      <c r="M49" s="55">
        <f t="shared" si="2"/>
        <v>3164</v>
      </c>
    </row>
    <row r="50" spans="1:13" x14ac:dyDescent="0.3">
      <c r="B50" s="4"/>
    </row>
    <row r="51" spans="1:13" x14ac:dyDescent="0.3">
      <c r="A51" s="50" t="s">
        <v>288</v>
      </c>
      <c r="B51" s="4"/>
    </row>
    <row r="52" spans="1:13" x14ac:dyDescent="0.3">
      <c r="A52" s="55" t="s">
        <v>237</v>
      </c>
      <c r="B52" s="55" t="s">
        <v>289</v>
      </c>
      <c r="C52" s="55" t="s">
        <v>290</v>
      </c>
      <c r="D52" s="55" t="s">
        <v>291</v>
      </c>
      <c r="E52" s="55" t="s">
        <v>292</v>
      </c>
      <c r="F52" s="55" t="s">
        <v>293</v>
      </c>
      <c r="G52" s="55" t="s">
        <v>327</v>
      </c>
      <c r="H52" s="55" t="s">
        <v>294</v>
      </c>
      <c r="I52" s="55" t="s">
        <v>295</v>
      </c>
      <c r="J52" s="55" t="s">
        <v>296</v>
      </c>
      <c r="K52" s="55" t="s">
        <v>297</v>
      </c>
      <c r="L52" s="55" t="s">
        <v>298</v>
      </c>
      <c r="M52" s="55" t="s">
        <v>299</v>
      </c>
    </row>
    <row r="53" spans="1:13" x14ac:dyDescent="0.3">
      <c r="A53" s="32" t="s">
        <v>317</v>
      </c>
      <c r="B53" s="84">
        <v>0</v>
      </c>
      <c r="C53" s="84">
        <v>0</v>
      </c>
      <c r="D53" s="84">
        <v>0</v>
      </c>
      <c r="E53" s="84">
        <v>0</v>
      </c>
      <c r="F53" s="84">
        <v>0</v>
      </c>
      <c r="G53" s="84">
        <v>0</v>
      </c>
      <c r="H53" s="84">
        <v>0</v>
      </c>
      <c r="I53" s="84">
        <v>0</v>
      </c>
      <c r="J53" s="84">
        <v>0</v>
      </c>
      <c r="K53" s="84">
        <v>0</v>
      </c>
      <c r="L53" s="84">
        <v>0</v>
      </c>
      <c r="M53" s="84">
        <v>0</v>
      </c>
    </row>
    <row r="54" spans="1:13" x14ac:dyDescent="0.3">
      <c r="A54" s="32" t="s">
        <v>316</v>
      </c>
      <c r="B54" s="84">
        <v>0</v>
      </c>
      <c r="C54" s="84">
        <v>0</v>
      </c>
      <c r="D54" s="84">
        <v>0</v>
      </c>
      <c r="E54" s="84">
        <v>0</v>
      </c>
      <c r="F54" s="84">
        <v>0</v>
      </c>
      <c r="G54" s="84">
        <v>0</v>
      </c>
      <c r="H54" s="84">
        <v>0</v>
      </c>
      <c r="I54" s="84">
        <v>0</v>
      </c>
      <c r="J54" s="84">
        <v>0</v>
      </c>
      <c r="K54" s="84">
        <v>0</v>
      </c>
      <c r="L54" s="84">
        <v>0</v>
      </c>
      <c r="M54" s="84">
        <v>0</v>
      </c>
    </row>
    <row r="55" spans="1:13" x14ac:dyDescent="0.3">
      <c r="A55" s="10" t="s">
        <v>315</v>
      </c>
      <c r="B55" s="22">
        <v>673</v>
      </c>
      <c r="C55" s="22">
        <v>577</v>
      </c>
      <c r="D55" s="22">
        <v>515</v>
      </c>
      <c r="E55" s="22">
        <v>577</v>
      </c>
      <c r="F55" s="22">
        <v>577</v>
      </c>
      <c r="G55" s="84">
        <v>577</v>
      </c>
      <c r="H55" s="84">
        <v>577</v>
      </c>
      <c r="I55" s="84">
        <v>577</v>
      </c>
      <c r="J55" s="84">
        <v>577</v>
      </c>
      <c r="K55" s="84">
        <v>577</v>
      </c>
      <c r="L55" s="84">
        <v>577</v>
      </c>
      <c r="M55" s="84">
        <v>577</v>
      </c>
    </row>
    <row r="56" spans="1:13" x14ac:dyDescent="0.3">
      <c r="A56" s="10" t="s">
        <v>252</v>
      </c>
      <c r="B56" s="22">
        <v>626</v>
      </c>
      <c r="C56" s="22">
        <v>540</v>
      </c>
      <c r="D56" s="22">
        <v>540</v>
      </c>
      <c r="E56" s="22">
        <v>540</v>
      </c>
      <c r="F56" s="22">
        <v>540</v>
      </c>
      <c r="G56" s="84">
        <v>540</v>
      </c>
      <c r="H56" s="84">
        <v>540</v>
      </c>
      <c r="I56" s="84">
        <v>540</v>
      </c>
      <c r="J56" s="84">
        <v>540</v>
      </c>
      <c r="K56" s="84">
        <v>540</v>
      </c>
      <c r="L56" s="84">
        <v>540</v>
      </c>
      <c r="M56" s="84">
        <v>540</v>
      </c>
    </row>
    <row r="57" spans="1:13" x14ac:dyDescent="0.3">
      <c r="A57" s="10" t="s">
        <v>250</v>
      </c>
      <c r="B57" s="22">
        <v>930</v>
      </c>
      <c r="C57" s="22">
        <v>825</v>
      </c>
      <c r="D57" s="22">
        <v>825</v>
      </c>
      <c r="E57" s="22">
        <v>825</v>
      </c>
      <c r="F57" s="22">
        <v>825</v>
      </c>
      <c r="G57" s="84">
        <v>825</v>
      </c>
      <c r="H57" s="84">
        <v>825</v>
      </c>
      <c r="I57" s="84">
        <v>825</v>
      </c>
      <c r="J57" s="84">
        <v>825</v>
      </c>
      <c r="K57" s="84">
        <v>825</v>
      </c>
      <c r="L57" s="84">
        <v>825</v>
      </c>
      <c r="M57" s="84">
        <v>825</v>
      </c>
    </row>
    <row r="58" spans="1:13" x14ac:dyDescent="0.3">
      <c r="A58" s="10" t="s">
        <v>248</v>
      </c>
      <c r="B58" s="22">
        <v>905</v>
      </c>
      <c r="C58" s="22">
        <v>828</v>
      </c>
      <c r="D58" s="22">
        <v>1020</v>
      </c>
      <c r="E58" s="22">
        <v>0</v>
      </c>
      <c r="F58" s="22">
        <v>0</v>
      </c>
      <c r="G58" s="22">
        <v>0</v>
      </c>
      <c r="H58" s="22">
        <v>828</v>
      </c>
      <c r="I58" s="22">
        <v>828</v>
      </c>
      <c r="J58" s="84">
        <v>828</v>
      </c>
      <c r="K58" s="84">
        <v>828</v>
      </c>
      <c r="L58" s="84">
        <v>828</v>
      </c>
      <c r="M58" s="84">
        <v>828</v>
      </c>
    </row>
    <row r="59" spans="1:13" x14ac:dyDescent="0.3">
      <c r="A59" s="10" t="s">
        <v>245</v>
      </c>
      <c r="B59" s="22">
        <v>741</v>
      </c>
      <c r="C59" s="22">
        <v>648</v>
      </c>
      <c r="D59" s="22">
        <v>834</v>
      </c>
      <c r="E59" s="22">
        <v>1386</v>
      </c>
      <c r="F59" s="22">
        <v>1386</v>
      </c>
      <c r="G59" s="22">
        <v>0</v>
      </c>
      <c r="H59" s="22">
        <v>648</v>
      </c>
      <c r="I59" s="22">
        <v>648</v>
      </c>
      <c r="J59" s="84">
        <v>648</v>
      </c>
      <c r="K59" s="84">
        <v>648</v>
      </c>
      <c r="L59" s="84">
        <v>648</v>
      </c>
      <c r="M59" s="84">
        <v>648</v>
      </c>
    </row>
    <row r="60" spans="1:13" x14ac:dyDescent="0.3">
      <c r="A60" s="10" t="s">
        <v>242</v>
      </c>
      <c r="B60" s="22">
        <v>843</v>
      </c>
      <c r="C60" s="22">
        <v>747</v>
      </c>
      <c r="D60" s="22">
        <v>936</v>
      </c>
      <c r="E60" s="22">
        <v>0</v>
      </c>
      <c r="F60" s="22">
        <v>0</v>
      </c>
      <c r="G60" s="22">
        <v>0</v>
      </c>
      <c r="H60" s="22">
        <v>747</v>
      </c>
      <c r="I60" s="22">
        <v>747</v>
      </c>
      <c r="J60" s="84">
        <v>747</v>
      </c>
      <c r="K60" s="84">
        <v>747</v>
      </c>
      <c r="L60" s="84">
        <v>747</v>
      </c>
      <c r="M60" s="84">
        <v>747</v>
      </c>
    </row>
    <row r="61" spans="1:13" x14ac:dyDescent="0.3">
      <c r="A61" s="10" t="s">
        <v>314</v>
      </c>
      <c r="B61" s="22">
        <v>791</v>
      </c>
      <c r="C61" s="22">
        <v>707</v>
      </c>
      <c r="D61" s="22">
        <v>882</v>
      </c>
      <c r="E61" s="22">
        <v>1890</v>
      </c>
      <c r="F61" s="22">
        <v>1890</v>
      </c>
      <c r="G61" s="22">
        <v>0</v>
      </c>
      <c r="H61" s="22">
        <v>707</v>
      </c>
      <c r="I61" s="22">
        <v>707</v>
      </c>
      <c r="J61" s="84">
        <v>707</v>
      </c>
      <c r="K61" s="84">
        <v>707</v>
      </c>
      <c r="L61" s="84">
        <v>707</v>
      </c>
      <c r="M61" s="84">
        <v>707</v>
      </c>
    </row>
    <row r="62" spans="1:13" x14ac:dyDescent="0.3">
      <c r="A62" s="10" t="s">
        <v>313</v>
      </c>
      <c r="B62" s="22">
        <v>543</v>
      </c>
      <c r="C62" s="22">
        <v>488</v>
      </c>
      <c r="D62" s="22">
        <v>614</v>
      </c>
      <c r="E62" s="22">
        <v>614</v>
      </c>
      <c r="F62" s="22">
        <v>0</v>
      </c>
      <c r="G62" s="22">
        <v>0</v>
      </c>
      <c r="H62" s="22">
        <v>488</v>
      </c>
      <c r="I62" s="22">
        <v>174</v>
      </c>
      <c r="J62" s="84">
        <v>488</v>
      </c>
      <c r="K62" s="84">
        <v>314</v>
      </c>
      <c r="L62" s="84">
        <v>488</v>
      </c>
      <c r="M62" s="22">
        <v>0</v>
      </c>
    </row>
    <row r="63" spans="1:13" x14ac:dyDescent="0.3">
      <c r="A63" s="10" t="s">
        <v>312</v>
      </c>
      <c r="B63" s="22">
        <v>475</v>
      </c>
      <c r="C63" s="22">
        <v>447</v>
      </c>
      <c r="D63" s="22">
        <v>556</v>
      </c>
      <c r="E63" s="22">
        <v>556</v>
      </c>
      <c r="F63" s="22">
        <v>0</v>
      </c>
      <c r="G63" s="22">
        <v>0</v>
      </c>
      <c r="H63" s="22">
        <v>447</v>
      </c>
      <c r="I63" s="22">
        <v>174</v>
      </c>
      <c r="J63" s="84">
        <v>447</v>
      </c>
      <c r="K63" s="84">
        <v>273</v>
      </c>
      <c r="L63" s="84">
        <v>447</v>
      </c>
      <c r="M63" s="22">
        <v>0</v>
      </c>
    </row>
    <row r="64" spans="1:13" x14ac:dyDescent="0.3">
      <c r="A64" s="10" t="s">
        <v>311</v>
      </c>
      <c r="B64" s="22">
        <v>280</v>
      </c>
      <c r="C64" s="22">
        <v>263</v>
      </c>
      <c r="D64" s="22">
        <v>327</v>
      </c>
      <c r="E64" s="22">
        <v>327</v>
      </c>
      <c r="F64" s="22">
        <v>0</v>
      </c>
      <c r="G64" s="22">
        <v>0</v>
      </c>
      <c r="H64" s="22">
        <v>126</v>
      </c>
      <c r="I64" s="22">
        <v>126</v>
      </c>
      <c r="J64" s="84">
        <v>137</v>
      </c>
      <c r="K64" s="84">
        <v>137</v>
      </c>
      <c r="L64" s="22">
        <v>0</v>
      </c>
      <c r="M64" s="22">
        <v>0</v>
      </c>
    </row>
    <row r="65" spans="1:13" x14ac:dyDescent="0.3">
      <c r="A65" s="10" t="s">
        <v>310</v>
      </c>
      <c r="B65" s="22">
        <v>102</v>
      </c>
      <c r="C65" s="22">
        <v>92</v>
      </c>
      <c r="D65" s="22">
        <v>114</v>
      </c>
      <c r="E65" s="22">
        <v>114</v>
      </c>
      <c r="F65" s="22">
        <v>0</v>
      </c>
      <c r="G65" s="22">
        <v>0</v>
      </c>
      <c r="H65" s="22">
        <v>0</v>
      </c>
      <c r="I65" s="22">
        <v>0</v>
      </c>
      <c r="J65" s="84">
        <v>92</v>
      </c>
      <c r="K65" s="84">
        <v>92</v>
      </c>
      <c r="L65" s="22">
        <v>0</v>
      </c>
      <c r="M65" s="22">
        <v>0</v>
      </c>
    </row>
    <row r="66" spans="1:13" x14ac:dyDescent="0.3">
      <c r="A66" s="55" t="s">
        <v>255</v>
      </c>
      <c r="B66" s="55">
        <f t="shared" ref="B66:M66" si="3">SUM(B55:B65)</f>
        <v>6909</v>
      </c>
      <c r="C66" s="76">
        <f t="shared" si="3"/>
        <v>6162</v>
      </c>
      <c r="D66" s="76">
        <f t="shared" si="3"/>
        <v>7163</v>
      </c>
      <c r="E66" s="76">
        <f t="shared" si="3"/>
        <v>6829</v>
      </c>
      <c r="F66" s="76">
        <f t="shared" si="3"/>
        <v>5218</v>
      </c>
      <c r="G66" s="76">
        <f t="shared" si="3"/>
        <v>1942</v>
      </c>
      <c r="H66" s="76">
        <f t="shared" si="3"/>
        <v>5933</v>
      </c>
      <c r="I66" s="76">
        <f t="shared" si="3"/>
        <v>5346</v>
      </c>
      <c r="J66" s="76">
        <f t="shared" si="3"/>
        <v>6036</v>
      </c>
      <c r="K66" s="76">
        <f t="shared" si="3"/>
        <v>5688</v>
      </c>
      <c r="L66" s="76">
        <f t="shared" si="3"/>
        <v>5807</v>
      </c>
      <c r="M66" s="76">
        <f t="shared" si="3"/>
        <v>4872</v>
      </c>
    </row>
    <row r="67" spans="1:13" x14ac:dyDescent="0.3">
      <c r="B67" s="4"/>
    </row>
  </sheetData>
  <mergeCells count="1">
    <mergeCell ref="A20:G20"/>
  </mergeCells>
  <phoneticPr fontId="1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E29"/>
  <sheetViews>
    <sheetView zoomScaleNormal="100" workbookViewId="0">
      <selection activeCell="C32" sqref="C32"/>
    </sheetView>
  </sheetViews>
  <sheetFormatPr defaultRowHeight="16.5" x14ac:dyDescent="0.3"/>
  <cols>
    <col min="1" max="1025" width="8.625" customWidth="1"/>
  </cols>
  <sheetData>
    <row r="2" spans="1:5" x14ac:dyDescent="0.3">
      <c r="A2" t="s">
        <v>384</v>
      </c>
      <c r="B2">
        <v>170.4</v>
      </c>
    </row>
    <row r="3" spans="1:5" x14ac:dyDescent="0.3">
      <c r="A3" t="s">
        <v>385</v>
      </c>
      <c r="B3">
        <v>30.2</v>
      </c>
    </row>
    <row r="4" spans="1:5" x14ac:dyDescent="0.3">
      <c r="A4" t="s">
        <v>386</v>
      </c>
      <c r="D4">
        <f>0.05*B3</f>
        <v>1.51</v>
      </c>
      <c r="E4">
        <f>0.39*B3</f>
        <v>11.778</v>
      </c>
    </row>
    <row r="13" spans="1:5" x14ac:dyDescent="0.3">
      <c r="A13" s="10"/>
      <c r="B13" s="32" t="s">
        <v>387</v>
      </c>
      <c r="C13" s="32" t="s">
        <v>388</v>
      </c>
      <c r="D13" s="32" t="s">
        <v>389</v>
      </c>
      <c r="E13" s="10"/>
    </row>
    <row r="14" spans="1:5" x14ac:dyDescent="0.3">
      <c r="A14" s="10"/>
      <c r="B14" s="10" t="s">
        <v>4</v>
      </c>
      <c r="C14" s="10" t="s">
        <v>390</v>
      </c>
      <c r="D14" s="10" t="s">
        <v>391</v>
      </c>
      <c r="E14" s="10"/>
    </row>
    <row r="15" spans="1:5" x14ac:dyDescent="0.3">
      <c r="A15" s="10" t="s">
        <v>315</v>
      </c>
      <c r="B15" s="32">
        <v>12.76</v>
      </c>
      <c r="C15" s="10">
        <v>2.4529999999999998</v>
      </c>
      <c r="D15" s="10">
        <v>215</v>
      </c>
      <c r="E15" s="10">
        <v>136</v>
      </c>
    </row>
    <row r="16" spans="1:5" x14ac:dyDescent="0.3">
      <c r="A16" s="10" t="s">
        <v>252</v>
      </c>
      <c r="B16" s="32">
        <v>12.76</v>
      </c>
      <c r="C16" s="10">
        <v>2.4529999999999998</v>
      </c>
      <c r="D16" s="10">
        <v>215</v>
      </c>
      <c r="E16" s="10">
        <v>136</v>
      </c>
    </row>
    <row r="17" spans="1:5" x14ac:dyDescent="0.3">
      <c r="A17" s="10" t="s">
        <v>250</v>
      </c>
      <c r="B17" s="32">
        <v>12.76</v>
      </c>
      <c r="C17" s="10">
        <v>2.4529999999999998</v>
      </c>
      <c r="D17" s="10">
        <v>215</v>
      </c>
      <c r="E17" s="10">
        <v>136</v>
      </c>
    </row>
    <row r="18" spans="1:5" x14ac:dyDescent="0.3">
      <c r="A18" s="10" t="s">
        <v>392</v>
      </c>
      <c r="B18" s="32">
        <v>16.68</v>
      </c>
      <c r="C18" s="10">
        <v>2.9430000000000001</v>
      </c>
      <c r="D18" s="10">
        <v>275</v>
      </c>
      <c r="E18" s="10">
        <v>144</v>
      </c>
    </row>
    <row r="19" spans="1:5" x14ac:dyDescent="0.3">
      <c r="A19" s="10" t="s">
        <v>245</v>
      </c>
      <c r="B19" s="32">
        <v>122.63</v>
      </c>
      <c r="C19" s="10">
        <v>9.81</v>
      </c>
      <c r="D19" s="10">
        <v>400</v>
      </c>
      <c r="E19" s="10">
        <v>392</v>
      </c>
    </row>
    <row r="20" spans="1:5" x14ac:dyDescent="0.3">
      <c r="A20" s="10" t="s">
        <v>393</v>
      </c>
      <c r="B20" s="32">
        <v>16.68</v>
      </c>
      <c r="C20" s="10">
        <v>2.9430000000000001</v>
      </c>
      <c r="D20" s="10">
        <v>275</v>
      </c>
      <c r="E20" s="10">
        <v>144</v>
      </c>
    </row>
    <row r="21" spans="1:5" x14ac:dyDescent="0.3">
      <c r="A21" s="10" t="s">
        <v>314</v>
      </c>
      <c r="B21" s="32">
        <v>343.35</v>
      </c>
      <c r="C21" s="10">
        <v>19.62</v>
      </c>
      <c r="D21" s="10">
        <v>680</v>
      </c>
      <c r="E21" s="10">
        <v>655</v>
      </c>
    </row>
    <row r="22" spans="1:5" x14ac:dyDescent="0.3">
      <c r="A22" s="10" t="s">
        <v>313</v>
      </c>
      <c r="B22" s="32">
        <v>15.7</v>
      </c>
      <c r="C22" s="10">
        <v>2.9430000000000001</v>
      </c>
      <c r="D22" s="10">
        <v>275</v>
      </c>
      <c r="E22" s="10">
        <v>144</v>
      </c>
    </row>
    <row r="23" spans="1:5" x14ac:dyDescent="0.3">
      <c r="A23" s="10" t="s">
        <v>312</v>
      </c>
      <c r="B23" s="32">
        <v>15.7</v>
      </c>
      <c r="C23" s="10">
        <v>2.9430000000000001</v>
      </c>
      <c r="D23" s="10">
        <v>275</v>
      </c>
      <c r="E23" s="10">
        <v>144</v>
      </c>
    </row>
    <row r="24" spans="1:5" x14ac:dyDescent="0.3">
      <c r="A24" s="10" t="s">
        <v>311</v>
      </c>
      <c r="B24" s="32">
        <v>15.7</v>
      </c>
      <c r="C24" s="10">
        <v>2.9430000000000001</v>
      </c>
      <c r="D24" s="10">
        <v>275</v>
      </c>
      <c r="E24" s="10">
        <v>144</v>
      </c>
    </row>
    <row r="25" spans="1:5" x14ac:dyDescent="0.3">
      <c r="A25" s="10" t="s">
        <v>310</v>
      </c>
      <c r="B25" s="32">
        <v>15.7</v>
      </c>
      <c r="C25" s="10">
        <v>2.9430000000000001</v>
      </c>
      <c r="D25" s="10">
        <v>275</v>
      </c>
      <c r="E25" s="10">
        <v>144</v>
      </c>
    </row>
    <row r="27" spans="1:5" x14ac:dyDescent="0.3">
      <c r="A27" t="s">
        <v>394</v>
      </c>
    </row>
    <row r="28" spans="1:5" x14ac:dyDescent="0.3">
      <c r="A28" t="s">
        <v>395</v>
      </c>
      <c r="C28">
        <v>1942380</v>
      </c>
      <c r="D28" t="s">
        <v>396</v>
      </c>
    </row>
    <row r="29" spans="1:5" x14ac:dyDescent="0.3">
      <c r="C29">
        <v>392400</v>
      </c>
      <c r="D29" t="s">
        <v>396</v>
      </c>
    </row>
  </sheetData>
  <phoneticPr fontId="1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Loading Summary</vt:lpstr>
      <vt:lpstr>Sheet4</vt:lpstr>
      <vt:lpstr>DeckLoading</vt:lpstr>
      <vt:lpstr>Sheet2</vt:lpstr>
      <vt:lpstr>DeckLoading_2</vt:lpstr>
      <vt:lpstr>TankLoading</vt:lpstr>
      <vt:lpstr>위치정보</vt:lpstr>
      <vt:lpstr>DeckLoading (2)</vt:lpstr>
      <vt:lpstr>Sheet3</vt:lpstr>
      <vt:lpstr>HGL</vt:lpstr>
      <vt:lpstr>Detail of Car Loading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wjeong</cp:lastModifiedBy>
  <cp:revision>1</cp:revision>
  <dcterms:created xsi:type="dcterms:W3CDTF">2015-06-05T18:19:34Z</dcterms:created>
  <dcterms:modified xsi:type="dcterms:W3CDTF">2019-05-25T16:54:37Z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