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fca16039ea603866/Desktop/Comp Portfolio/"/>
    </mc:Choice>
  </mc:AlternateContent>
  <xr:revisionPtr revIDLastSave="557" documentId="11_3154FD81C03E81F29F7E149756C230E79225A205" xr6:coauthVersionLast="47" xr6:coauthVersionMax="47" xr10:uidLastSave="{350F9608-6231-407B-AFC1-48C0AFE938AB}"/>
  <bookViews>
    <workbookView xWindow="8290" yWindow="2860" windowWidth="25990" windowHeight="17510" activeTab="6" xr2:uid="{00000000-000D-0000-FFFF-FFFF00000000}"/>
  </bookViews>
  <sheets>
    <sheet name="Formula Writing" sheetId="4" r:id="rId1"/>
    <sheet name="Projections" sheetId="2" r:id="rId2"/>
    <sheet name="Scenario Manager" sheetId="3" r:id="rId3"/>
    <sheet name="NPV" sheetId="5" r:id="rId4"/>
    <sheet name="IRR" sheetId="6" r:id="rId5"/>
    <sheet name="VBA" sheetId="7" r:id="rId6"/>
    <sheet name="Stocks Analysis" sheetId="8" r:id="rId7"/>
    <sheet name="Standard Deviation" sheetId="1" r:id="rId8"/>
  </sheets>
  <externalReferences>
    <externalReference r:id="rId9"/>
    <externalReference r:id="rId10"/>
    <externalReference r:id="rId11"/>
  </externalReferences>
  <definedNames>
    <definedName name="__IntlFixup" hidden="1">TRUE</definedName>
    <definedName name="__IntlFixupTable" localSheetId="4" hidden="1">#REF!</definedName>
    <definedName name="__IntlFixupTable" localSheetId="2" hidden="1">#REF!</definedName>
    <definedName name="__IntlFixupTable" hidden="1">#REF!</definedName>
    <definedName name="_Fill" localSheetId="4" hidden="1">#REF!</definedName>
    <definedName name="_Fill" hidden="1">#REF!</definedName>
    <definedName name="_xlnm._FilterDatabase" localSheetId="7" hidden="1">'Standard Deviation'!$B$4:$C$4</definedName>
    <definedName name="_Order1" hidden="1">0</definedName>
    <definedName name="AA.Report.Files" localSheetId="0" hidden="1">#REF!</definedName>
    <definedName name="AA.Report.Files" localSheetId="4" hidden="1">#REF!</definedName>
    <definedName name="AA.Report.Files" localSheetId="1" hidden="1">#REF!</definedName>
    <definedName name="AA.Report.Files" localSheetId="2" hidden="1">#REF!</definedName>
    <definedName name="AA.Report.Files" hidden="1">#REF!</definedName>
    <definedName name="AA.Reports.Available" localSheetId="0" hidden="1">#REF!</definedName>
    <definedName name="AA.Reports.Available" localSheetId="4" hidden="1">#REF!</definedName>
    <definedName name="AA.Reports.Available" localSheetId="1" hidden="1">#REF!</definedName>
    <definedName name="AA.Reports.Available" localSheetId="2" hidden="1">#REF!</definedName>
    <definedName name="AA.Reports.Available" hidden="1">#REF!</definedName>
    <definedName name="array">'Standard Deviation'!$C$5:$C$10</definedName>
    <definedName name="as" localSheetId="0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localSheetId="4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localSheetId="3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localSheetId="1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localSheetId="2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bb_N0U4QjY0QTlGRUQ3NEUxMU" localSheetId="0" hidden="1">#REF!</definedName>
    <definedName name="bb_N0U4QjY0QTlGRUQ3NEUxMU" localSheetId="4" hidden="1">#REF!</definedName>
    <definedName name="bb_N0U4QjY0QTlGRUQ3NEUxMU" localSheetId="1" hidden="1">Projections!#REF!</definedName>
    <definedName name="bb_N0U4QjY0QTlGRUQ3NEUxMU" localSheetId="2" hidden="1">#REF!</definedName>
    <definedName name="bb_N0U4QjY0QTlGRUQ3NEUxMU" hidden="1">#REF!</definedName>
    <definedName name="Data.Dump" localSheetId="0" hidden="1">OFFSET([0]!Data.Top.Left,1,0)</definedName>
    <definedName name="Data.Dump" localSheetId="4" hidden="1">OFFSET([0]!Data.Top.Left,1,0)</definedName>
    <definedName name="Data.Dump" localSheetId="3" hidden="1">OFFSET([0]!Data.Top.Left,1,0)</definedName>
    <definedName name="Data.Dump" localSheetId="1" hidden="1">OFFSET([1]!Data.Top.Left,1,0)</definedName>
    <definedName name="Data.Dump" localSheetId="2" hidden="1">OFFSET([0]!Data.Top.Left,1,0)</definedName>
    <definedName name="Data.Dump" hidden="1">OFFSET([0]!Data.Top.Left,1,0)</definedName>
    <definedName name="DATA_01" hidden="1">'[2]Sales Seasonality by Month'!$B$4</definedName>
    <definedName name="DATA_02" hidden="1">'[2]Sales Seasonality by Month'!$B$9</definedName>
    <definedName name="DATA_03" hidden="1">'[2]Sales Seasonality by Month'!$C$9:$C$20</definedName>
    <definedName name="DATA_04" hidden="1">'[2]Sales Seasonality by Month'!$F$9:$F$20</definedName>
    <definedName name="Database.File" localSheetId="0" hidden="1">#REF!</definedName>
    <definedName name="Database.File" localSheetId="4" hidden="1">#REF!</definedName>
    <definedName name="Database.File" localSheetId="1" hidden="1">#REF!</definedName>
    <definedName name="Database.File" localSheetId="2" hidden="1">#REF!</definedName>
    <definedName name="Database.File" hidden="1">#REF!</definedName>
    <definedName name="File.Type" localSheetId="0" hidden="1">#REF!</definedName>
    <definedName name="File.Type" localSheetId="4" hidden="1">#REF!</definedName>
    <definedName name="File.Type" localSheetId="1" hidden="1">#REF!</definedName>
    <definedName name="File.Type" localSheetId="2" hidden="1">#REF!</definedName>
    <definedName name="File.Type" hidden="1">#REF!</definedName>
    <definedName name="HTML_CodePage" hidden="1">1252</definedName>
    <definedName name="HTML_Control" localSheetId="0" hidden="1">{"'Leverage'!$B$2:$M$418"}</definedName>
    <definedName name="HTML_Control" localSheetId="4" hidden="1">{"'Leverage'!$B$2:$M$418"}</definedName>
    <definedName name="HTML_Control" localSheetId="3" hidden="1">{"'Leverage'!$B$2:$M$418"}</definedName>
    <definedName name="HTML_Control" localSheetId="1" hidden="1">{"'Leverage'!$B$2:$M$418"}</definedName>
    <definedName name="HTML_Control" localSheetId="2" hidden="1">{"'Leverage'!$B$2:$M$418"}</definedName>
    <definedName name="HTML_Control" hidden="1">{"'Leverage'!$B$2:$M$418"}</definedName>
    <definedName name="HTML_Description" hidden="1">""</definedName>
    <definedName name="HTML_Email" hidden="1">""</definedName>
    <definedName name="HTML_Header" hidden="1">"Leverage"</definedName>
    <definedName name="HTML_LastUpdate" hidden="1">"8/21/00"</definedName>
    <definedName name="HTML_LineAfter" hidden="1">FALSE</definedName>
    <definedName name="HTML_LineBefore" hidden="1">FALSE</definedName>
    <definedName name="HTML_Name" hidden="1">"Frank Vickers"</definedName>
    <definedName name="HTML_OBDlg2" hidden="1">TRUE</definedName>
    <definedName name="HTML_OBDlg4" hidden="1">TRUE</definedName>
    <definedName name="HTML_OS" hidden="1">0</definedName>
    <definedName name="HTML_PathFile" hidden="1">"C:\my documents\lever.htm"</definedName>
    <definedName name="HTML_Title" hidden="1">"leverage"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41393.570150463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LABOR_TAX" hidden="1">'[3]Service Invoice'!$G$15</definedName>
    <definedName name="Ownership" localSheetId="0" hidden="1">OFFSET([0]!Data.Top.Left,1,0)</definedName>
    <definedName name="Ownership" localSheetId="4" hidden="1">OFFSET([0]!Data.Top.Left,1,0)</definedName>
    <definedName name="Ownership" localSheetId="3" hidden="1">OFFSET([0]!Data.Top.Left,1,0)</definedName>
    <definedName name="Ownership" localSheetId="1" hidden="1">OFFSET([1]!Data.Top.Left,1,0)</definedName>
    <definedName name="Ownership" localSheetId="2" hidden="1">OFFSET([0]!Data.Top.Left,1,0)</definedName>
    <definedName name="Ownership" hidden="1">OFFSET([0]!Data.Top.Left,1,0)</definedName>
    <definedName name="PARTS_TAX" hidden="1">'[3]Service Invoice'!$D$15</definedName>
    <definedName name="s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sencount" hidden="1">1</definedName>
    <definedName name="Show.Acct.Update.Warning" localSheetId="0" hidden="1">#REF!</definedName>
    <definedName name="Show.Acct.Update.Warning" localSheetId="4" hidden="1">#REF!</definedName>
    <definedName name="Show.Acct.Update.Warning" localSheetId="1" hidden="1">#REF!</definedName>
    <definedName name="Show.Acct.Update.Warning" localSheetId="2" hidden="1">#REF!</definedName>
    <definedName name="Show.Acct.Update.Warning" hidden="1">#REF!</definedName>
    <definedName name="Show.MDB.Update.Warning" localSheetId="0" hidden="1">#REF!</definedName>
    <definedName name="Show.MDB.Update.Warning" localSheetId="4" hidden="1">#REF!</definedName>
    <definedName name="Show.MDB.Update.Warning" localSheetId="1" hidden="1">#REF!</definedName>
    <definedName name="Show.MDB.Update.Warning" localSheetId="2" hidden="1">#REF!</definedName>
    <definedName name="Show.MDB.Update.Warning" hidden="1">#REF!</definedName>
    <definedName name="wrn.דוח._.רווח._.והפסד." localSheetId="0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localSheetId="4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localSheetId="3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localSheetId="1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localSheetId="2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" i="2" l="1"/>
  <c r="C12" i="2"/>
  <c r="F28" i="2"/>
  <c r="F29" i="2"/>
  <c r="C13" i="2"/>
  <c r="F30" i="2"/>
  <c r="C14" i="2"/>
  <c r="F31" i="2"/>
  <c r="C15" i="2"/>
  <c r="F32" i="2"/>
  <c r="F33" i="2"/>
  <c r="C16" i="2"/>
  <c r="F35" i="2"/>
  <c r="E33" i="2"/>
  <c r="D35" i="2"/>
  <c r="E35" i="2"/>
  <c r="E36" i="2"/>
  <c r="D33" i="2"/>
  <c r="D36" i="2"/>
  <c r="C33" i="2"/>
  <c r="C36" i="2"/>
  <c r="B13" i="6"/>
  <c r="B14" i="6"/>
  <c r="G26" i="6"/>
  <c r="C48" i="6"/>
  <c r="D48" i="6"/>
  <c r="E48" i="6"/>
  <c r="F48" i="6"/>
  <c r="C51" i="6"/>
  <c r="C49" i="6"/>
  <c r="D51" i="6"/>
  <c r="D49" i="6"/>
  <c r="E51" i="6"/>
  <c r="E49" i="6"/>
  <c r="F51" i="6"/>
  <c r="F49" i="6"/>
  <c r="G52" i="6"/>
  <c r="C70" i="6"/>
  <c r="C71" i="6"/>
  <c r="H51" i="5"/>
  <c r="G51" i="5"/>
  <c r="F51" i="5"/>
  <c r="E51" i="5"/>
  <c r="H19" i="5"/>
  <c r="G19" i="5"/>
  <c r="F19" i="5"/>
  <c r="E19" i="5"/>
  <c r="C19" i="5"/>
  <c r="H18" i="5"/>
  <c r="G18" i="5"/>
  <c r="F18" i="5"/>
  <c r="C15" i="5"/>
  <c r="C14" i="5"/>
  <c r="D29" i="4"/>
  <c r="E28" i="4"/>
  <c r="E27" i="4"/>
  <c r="E29" i="4"/>
  <c r="F28" i="4"/>
  <c r="F27" i="4"/>
  <c r="F29" i="4"/>
  <c r="G28" i="4"/>
  <c r="G27" i="4"/>
  <c r="G29" i="4"/>
  <c r="H28" i="4"/>
  <c r="H27" i="4"/>
  <c r="H29" i="4"/>
  <c r="I28" i="4"/>
  <c r="I27" i="4"/>
  <c r="I29" i="4"/>
  <c r="J28" i="4"/>
  <c r="J27" i="4"/>
  <c r="J29" i="4"/>
  <c r="K28" i="4"/>
  <c r="K27" i="4"/>
  <c r="K29" i="4"/>
  <c r="L28" i="4"/>
  <c r="L27" i="4"/>
  <c r="L29" i="4"/>
  <c r="M28" i="4"/>
  <c r="M27" i="4"/>
  <c r="M29" i="4"/>
  <c r="D31" i="4"/>
  <c r="G12" i="4"/>
  <c r="G16" i="4"/>
  <c r="G23" i="4"/>
  <c r="F12" i="4"/>
  <c r="F16" i="4"/>
  <c r="F23" i="4"/>
  <c r="E12" i="4"/>
  <c r="E16" i="4"/>
  <c r="E23" i="4"/>
  <c r="G22" i="4"/>
  <c r="F22" i="4"/>
  <c r="E22" i="4"/>
  <c r="G21" i="4"/>
  <c r="F21" i="4"/>
  <c r="E21" i="4"/>
  <c r="H10" i="4"/>
  <c r="I10" i="4"/>
  <c r="J10" i="4"/>
  <c r="K10" i="4"/>
  <c r="L10" i="4"/>
  <c r="M10" i="4"/>
  <c r="M12" i="4"/>
  <c r="M13" i="4"/>
  <c r="M16" i="4"/>
  <c r="M18" i="4"/>
  <c r="L12" i="4"/>
  <c r="L13" i="4"/>
  <c r="L16" i="4"/>
  <c r="L18" i="4"/>
  <c r="K12" i="4"/>
  <c r="K13" i="4"/>
  <c r="K16" i="4"/>
  <c r="K18" i="4"/>
  <c r="J12" i="4"/>
  <c r="J13" i="4"/>
  <c r="J16" i="4"/>
  <c r="J18" i="4"/>
  <c r="I12" i="4"/>
  <c r="I13" i="4"/>
  <c r="I16" i="4"/>
  <c r="I18" i="4"/>
  <c r="H12" i="4"/>
  <c r="H13" i="4"/>
  <c r="H16" i="4"/>
  <c r="H18" i="4"/>
  <c r="G18" i="4"/>
  <c r="F18" i="4"/>
  <c r="E18" i="4"/>
  <c r="M11" i="4"/>
  <c r="L11" i="4"/>
  <c r="K11" i="4"/>
  <c r="J11" i="4"/>
  <c r="I11" i="4"/>
  <c r="H11" i="4"/>
  <c r="H14" i="3"/>
  <c r="D11" i="3"/>
  <c r="E11" i="3"/>
  <c r="F11" i="3"/>
  <c r="G11" i="3"/>
  <c r="H11" i="3"/>
  <c r="H13" i="3"/>
  <c r="C16" i="3"/>
  <c r="G14" i="3"/>
  <c r="F14" i="3"/>
  <c r="E14" i="3"/>
  <c r="D14" i="3"/>
  <c r="C13" i="3"/>
  <c r="C14" i="3"/>
  <c r="G13" i="3"/>
  <c r="F13" i="3"/>
  <c r="E13" i="3"/>
  <c r="D13" i="3"/>
  <c r="H12" i="3"/>
  <c r="G12" i="3"/>
  <c r="F12" i="3"/>
  <c r="E12" i="3"/>
  <c r="D12" i="3"/>
  <c r="D10" i="3"/>
  <c r="E10" i="3"/>
  <c r="F10" i="3"/>
  <c r="G10" i="3"/>
  <c r="H10" i="3"/>
  <c r="F36" i="2"/>
  <c r="G28" i="2"/>
  <c r="G29" i="2"/>
  <c r="G30" i="2"/>
  <c r="G31" i="2"/>
  <c r="G32" i="2"/>
  <c r="G33" i="2"/>
  <c r="G35" i="2"/>
  <c r="G36" i="2"/>
  <c r="H28" i="2"/>
  <c r="H29" i="2"/>
  <c r="H30" i="2"/>
  <c r="H31" i="2"/>
  <c r="H32" i="2"/>
  <c r="H33" i="2"/>
  <c r="H35" i="2"/>
  <c r="H36" i="2"/>
  <c r="I28" i="2"/>
  <c r="I29" i="2"/>
  <c r="I30" i="2"/>
  <c r="I31" i="2"/>
  <c r="I32" i="2"/>
  <c r="I33" i="2"/>
  <c r="I35" i="2"/>
  <c r="I36" i="2"/>
  <c r="J28" i="2"/>
  <c r="J29" i="2"/>
  <c r="J30" i="2"/>
  <c r="J31" i="2"/>
  <c r="J32" i="2"/>
  <c r="J33" i="2"/>
  <c r="J35" i="2"/>
  <c r="J36" i="2"/>
  <c r="C47" i="2"/>
  <c r="C58" i="2"/>
  <c r="E45" i="2"/>
  <c r="D45" i="2"/>
  <c r="C45" i="2"/>
  <c r="E44" i="2"/>
  <c r="D44" i="2"/>
  <c r="C44" i="2"/>
  <c r="E43" i="2"/>
  <c r="D43" i="2"/>
  <c r="C43" i="2"/>
  <c r="E42" i="2"/>
  <c r="D42" i="2"/>
  <c r="C42" i="2"/>
  <c r="E41" i="2"/>
  <c r="D41" i="2"/>
  <c r="C41" i="2"/>
  <c r="E40" i="2"/>
  <c r="D40" i="2"/>
  <c r="C40" i="2"/>
  <c r="E39" i="2"/>
  <c r="D39" i="2"/>
  <c r="C39" i="2"/>
  <c r="F27" i="2"/>
  <c r="G27" i="2"/>
  <c r="H27" i="2"/>
  <c r="I27" i="2"/>
  <c r="J27" i="2"/>
  <c r="C17" i="2"/>
  <c r="C17" i="1"/>
  <c r="C18" i="1"/>
  <c r="C19" i="1"/>
  <c r="C21" i="1"/>
  <c r="C20" i="1"/>
  <c r="C16" i="1"/>
  <c r="C12" i="1"/>
  <c r="C15" i="1"/>
  <c r="C11" i="1"/>
  <c r="E10" i="1"/>
  <c r="D10" i="1"/>
  <c r="E9" i="1"/>
  <c r="D9" i="1"/>
  <c r="E8" i="1"/>
  <c r="D8" i="1"/>
  <c r="E7" i="1"/>
  <c r="D7" i="1"/>
  <c r="E6" i="1"/>
  <c r="D6" i="1"/>
  <c r="D5" i="1"/>
  <c r="C52" i="5"/>
  <c r="C53" i="5"/>
</calcChain>
</file>

<file path=xl/sharedStrings.xml><?xml version="1.0" encoding="utf-8"?>
<sst xmlns="http://schemas.openxmlformats.org/spreadsheetml/2006/main" count="248" uniqueCount="212">
  <si>
    <t>Variance</t>
  </si>
  <si>
    <t xml:space="preserve">Outliers </t>
  </si>
  <si>
    <t>=IF(OR(($D$33&lt;$D5),$D5&lt;$D$34),"Yes","No")</t>
  </si>
  <si>
    <t>Median</t>
  </si>
  <si>
    <t xml:space="preserve">Mean </t>
  </si>
  <si>
    <t>Mean (50th P)</t>
  </si>
  <si>
    <t xml:space="preserve">Standard Deviation </t>
  </si>
  <si>
    <t>Upper Quartile (75th P)</t>
  </si>
  <si>
    <t>Lower Quartile (25th P)</t>
  </si>
  <si>
    <t xml:space="preserve">IQR </t>
  </si>
  <si>
    <t>Outlier UQ</t>
  </si>
  <si>
    <t>Outlier LQ</t>
  </si>
  <si>
    <t xml:space="preserve">*Any # greater than Upper Quartile + 1.5 x IQR = Outlier
*Any # less than the Lower Quartile - 1.5 x IQR = Outlier
*Any value  2 or more standard devation away from the Mean (avg) indicates that the data is less and less accurate  </t>
  </si>
  <si>
    <t>Notes</t>
  </si>
  <si>
    <t>Standard Deviation</t>
  </si>
  <si>
    <t>Assumptions</t>
  </si>
  <si>
    <t>Active Scenario</t>
  </si>
  <si>
    <t>Active</t>
  </si>
  <si>
    <t>Base (1)</t>
  </si>
  <si>
    <t>Low (2)</t>
  </si>
  <si>
    <t>High (3)</t>
  </si>
  <si>
    <t>Revenue growth</t>
  </si>
  <si>
    <t>Cost of goods sold % of revenue</t>
  </si>
  <si>
    <t>Rent as % of revenue</t>
  </si>
  <si>
    <t>Employee as % of revenue</t>
  </si>
  <si>
    <t>Marketing as % of revenue</t>
  </si>
  <si>
    <t xml:space="preserve">Income Tax % of pre-tax profit </t>
  </si>
  <si>
    <t>Profit % of revenue</t>
  </si>
  <si>
    <t>Income Statement</t>
  </si>
  <si>
    <t>Historical</t>
  </si>
  <si>
    <t>5-year Projection</t>
  </si>
  <si>
    <t>Revenue</t>
  </si>
  <si>
    <t>Rent</t>
  </si>
  <si>
    <t>Employee</t>
  </si>
  <si>
    <t>Marketing</t>
  </si>
  <si>
    <t>Taxes</t>
  </si>
  <si>
    <t>Income Tax % of pre-tax profit</t>
  </si>
  <si>
    <t>Sensitivity Analysis &amp; Goal Seek</t>
  </si>
  <si>
    <t>Revenue Growth</t>
  </si>
  <si>
    <t>Scenario</t>
  </si>
  <si>
    <t>Base</t>
  </si>
  <si>
    <t>Best</t>
  </si>
  <si>
    <t>Worse</t>
  </si>
  <si>
    <t>Profit Margin</t>
  </si>
  <si>
    <t>Price / Earnings*</t>
  </si>
  <si>
    <t>Actual</t>
  </si>
  <si>
    <t>Projected</t>
  </si>
  <si>
    <t>Expenses</t>
  </si>
  <si>
    <t>Net Income</t>
  </si>
  <si>
    <t>Value at 2023</t>
  </si>
  <si>
    <t>*Multiply net income by the P/E ratio to derive the company's equity value, or market capitalization.</t>
  </si>
  <si>
    <t>Projected Revenue is equal to previous year revenue times (1 + growth rate)</t>
  </si>
  <si>
    <t>"Gross margin" is equal to the "Gross Margin %" times "Revenue"</t>
  </si>
  <si>
    <t>"SG&amp;A" is equal to "SG&amp;A % of Revenue" times "Revenue"</t>
  </si>
  <si>
    <t>"Income Taxes" are equal to the "Income Tax %" times "Income before Income Taxes"</t>
  </si>
  <si>
    <t>Note:</t>
  </si>
  <si>
    <t>Projection</t>
  </si>
  <si>
    <t>Cost of Sales</t>
  </si>
  <si>
    <t>Gross Margin</t>
  </si>
  <si>
    <t>SG&amp;A</t>
  </si>
  <si>
    <t>D&amp;A</t>
  </si>
  <si>
    <t>Interest Expense</t>
  </si>
  <si>
    <t>Income before income taxes</t>
  </si>
  <si>
    <t>Income taxes</t>
  </si>
  <si>
    <t>Net income</t>
  </si>
  <si>
    <t>Gross Margin %</t>
  </si>
  <si>
    <t>SG&amp;A % of Revenue</t>
  </si>
  <si>
    <t>Income Tax %</t>
  </si>
  <si>
    <t>Discount Rate</t>
  </si>
  <si>
    <t>Year</t>
  </si>
  <si>
    <t>Cash Flows</t>
  </si>
  <si>
    <t>Present Value</t>
  </si>
  <si>
    <t>Total PV</t>
  </si>
  <si>
    <t>Reference</t>
  </si>
  <si>
    <t>FV = PV * (1 + r) ^ T</t>
  </si>
  <si>
    <t>FV: Future Value</t>
  </si>
  <si>
    <t>PV = FV / (1 + r) ^ T</t>
  </si>
  <si>
    <t>PV: Present Value</t>
  </si>
  <si>
    <t>Net Present Value</t>
  </si>
  <si>
    <t>Review NPV Calculations</t>
  </si>
  <si>
    <t>NPV Function &amp; Calculations</t>
  </si>
  <si>
    <t>The Net Present Value is the value of a stream of cashflows in today's dollars</t>
  </si>
  <si>
    <t>An NPV &gt; 0 investment will increase the value of a company</t>
  </si>
  <si>
    <t>NPV</t>
  </si>
  <si>
    <t>Rate</t>
  </si>
  <si>
    <t>Payment</t>
  </si>
  <si>
    <t>Period 1</t>
  </si>
  <si>
    <t>Period 2</t>
  </si>
  <si>
    <t>Period 3</t>
  </si>
  <si>
    <t>Current value considering discount rate, future payments and income</t>
  </si>
  <si>
    <t>interest rate (cost of capital)</t>
  </si>
  <si>
    <t>range of payments for which NPV is to be calculated</t>
  </si>
  <si>
    <t>If the initial payment is made at the beginning of the first period,</t>
  </si>
  <si>
    <t>it is not considered a value input and is added outside of the closing parenthesis</t>
  </si>
  <si>
    <t>- this equates to the Present Value of the investment at the beginning of the period</t>
  </si>
  <si>
    <t>=NPV(rate, value1, value2,…) + initial payment</t>
  </si>
  <si>
    <t>If the initial payment is made at the end of the first period,</t>
  </si>
  <si>
    <t>it is considered a value input and is included as such</t>
  </si>
  <si>
    <t>- this equates to the Present Value of the investment at the end of the period</t>
  </si>
  <si>
    <t>=NPV(rate, value1, value2,…)</t>
  </si>
  <si>
    <t>XNPV function</t>
  </si>
  <si>
    <t>XNPV</t>
  </si>
  <si>
    <t>Calculates the NPV of a series of cash flows without consistent payment dates</t>
  </si>
  <si>
    <t>cost of capital (or discount rate)</t>
  </si>
  <si>
    <t>dates =</t>
  </si>
  <si>
    <t>listing of dates on which cash inflows are received</t>
  </si>
  <si>
    <t>Yield</t>
  </si>
  <si>
    <t>Maturity</t>
  </si>
  <si>
    <t>Principal</t>
  </si>
  <si>
    <t>Quarterly</t>
  </si>
  <si>
    <t>Pay Frequency</t>
  </si>
  <si>
    <t>Annual Coupon</t>
  </si>
  <si>
    <t>Bonds can be purchased at par ($100), below par (&lt;$100), and above par (&gt;$100)</t>
  </si>
  <si>
    <t>Price</t>
  </si>
  <si>
    <t>How many payments a year the interest is paid</t>
  </si>
  <si>
    <t>Frequency:</t>
  </si>
  <si>
    <t>The payment expected to receive at maturity (hopefully the principal, or the amount borrowed)</t>
  </si>
  <si>
    <t>Redemption:</t>
  </si>
  <si>
    <t>The price the security is purchased for. Can be at par $100, above par (selling at a premium), or below par (selling at a discount)</t>
  </si>
  <si>
    <t>Pr:</t>
  </si>
  <si>
    <t>Interest rate in %</t>
  </si>
  <si>
    <t>Rate:</t>
  </si>
  <si>
    <t>When the bond or security comes due or is expected to be repaid</t>
  </si>
  <si>
    <t>Maturity:</t>
  </si>
  <si>
    <t>The date the security settles (usually 2-3 days after the trade date). For this exercise, we will use the TODAY() function</t>
  </si>
  <si>
    <t>Settlement:</t>
  </si>
  <si>
    <t>YIELD Function</t>
  </si>
  <si>
    <t>Bond Yields</t>
  </si>
  <si>
    <t>XIRR</t>
  </si>
  <si>
    <t>Calculates the IRR of a series of cash flows without consistent payment dates</t>
  </si>
  <si>
    <t>XIRR function</t>
  </si>
  <si>
    <t>- An investment with no IRR results in an error (#NUM!)</t>
  </si>
  <si>
    <t>- In general, most investments with just one change in sign have a unique IRR</t>
  </si>
  <si>
    <t>- If the IRR is consistent across a variety of "guess" values, the investment has a unique IRR</t>
  </si>
  <si>
    <t>- While the "guess" input defaults to 10%, it can range from -90% to +90%</t>
  </si>
  <si>
    <t>To test if an investment has a unique IRR, calculate the IRR with a range of "guess" values</t>
  </si>
  <si>
    <t>- Only if the investment has one unique IRR is it useful in making financial decisions</t>
  </si>
  <si>
    <t>IRR</t>
  </si>
  <si>
    <t>Guess</t>
  </si>
  <si>
    <t>An investment may have one unique IRR, multiple IRR's, or no IRR</t>
  </si>
  <si>
    <t>initial guess at what the IRR might be (defaults to 0.1 if left blank)</t>
  </si>
  <si>
    <t>range of cells for which IRR is to be calculated</t>
  </si>
  <si>
    <t>IRR Function</t>
  </si>
  <si>
    <t>Discount</t>
  </si>
  <si>
    <t>- It represents annual rate of return on invested cash flows</t>
  </si>
  <si>
    <t>The Internal Rate of Return (IRR) is the discount rate that makes the NPV equal to zero</t>
  </si>
  <si>
    <t>Internal Rate of Return (IRR)</t>
  </si>
  <si>
    <t>Review concepts and the IRR &amp; XIRR functions</t>
  </si>
  <si>
    <t>Formula Writing- Kareyw</t>
  </si>
  <si>
    <t>Scenario Manager- Kareyw</t>
  </si>
  <si>
    <t>Financial Projections with Sensitivity Analysis- Kareyw</t>
  </si>
  <si>
    <t>Net Present Value- Kareyw</t>
  </si>
  <si>
    <t>Internal Rate of Return- Kareyw</t>
  </si>
  <si>
    <t>Net Profit</t>
  </si>
  <si>
    <t>Finding Outliers with Standard Deviation- Kareyw</t>
  </si>
  <si>
    <t>Cost of goods sold (COGS)</t>
  </si>
  <si>
    <t>Gross (Pre-Tax) Profit</t>
  </si>
  <si>
    <t>Total Profit in the Projection Period</t>
  </si>
  <si>
    <t>Profit Threshold</t>
  </si>
  <si>
    <r>
      <t>=NPV(</t>
    </r>
    <r>
      <rPr>
        <sz val="11"/>
        <color rgb="FF0070C0"/>
        <rFont val="Segoe UI Light"/>
        <family val="2"/>
      </rPr>
      <t>rate</t>
    </r>
    <r>
      <rPr>
        <sz val="11"/>
        <color theme="1"/>
        <rFont val="Segoe UI Light"/>
        <family val="2"/>
      </rPr>
      <t xml:space="preserve">, </t>
    </r>
    <r>
      <rPr>
        <sz val="11"/>
        <color rgb="FFFF0000"/>
        <rFont val="Segoe UI Light"/>
        <family val="2"/>
      </rPr>
      <t>value1</t>
    </r>
    <r>
      <rPr>
        <sz val="11"/>
        <color theme="1"/>
        <rFont val="Segoe UI Light"/>
        <family val="2"/>
      </rPr>
      <t xml:space="preserve">, </t>
    </r>
    <r>
      <rPr>
        <sz val="11"/>
        <color rgb="FFFF0000"/>
        <rFont val="Segoe UI Light"/>
        <family val="2"/>
      </rPr>
      <t>value2</t>
    </r>
    <r>
      <rPr>
        <sz val="11"/>
        <color theme="1"/>
        <rFont val="Segoe UI Light"/>
        <family val="2"/>
      </rPr>
      <t>,…)</t>
    </r>
  </si>
  <si>
    <r>
      <rPr>
        <sz val="11"/>
        <color rgb="FF0070C0"/>
        <rFont val="Segoe UI Light"/>
        <family val="2"/>
      </rPr>
      <t>rate</t>
    </r>
    <r>
      <rPr>
        <sz val="11"/>
        <color theme="1"/>
        <rFont val="Segoe UI Light"/>
        <family val="2"/>
      </rPr>
      <t xml:space="preserve"> =</t>
    </r>
  </si>
  <si>
    <r>
      <rPr>
        <sz val="11"/>
        <color rgb="FFFF0000"/>
        <rFont val="Segoe UI Light"/>
        <family val="2"/>
      </rPr>
      <t>values</t>
    </r>
    <r>
      <rPr>
        <sz val="11"/>
        <color theme="1"/>
        <rFont val="Segoe UI Light"/>
        <family val="2"/>
      </rPr>
      <t xml:space="preserve"> =</t>
    </r>
  </si>
  <si>
    <r>
      <t>=XNPV(</t>
    </r>
    <r>
      <rPr>
        <sz val="11"/>
        <color rgb="FF0070C0"/>
        <rFont val="Segoe UI Light"/>
        <family val="2"/>
      </rPr>
      <t>rate</t>
    </r>
    <r>
      <rPr>
        <sz val="11"/>
        <color theme="1"/>
        <rFont val="Segoe UI Light"/>
        <family val="2"/>
      </rPr>
      <t xml:space="preserve">, </t>
    </r>
    <r>
      <rPr>
        <sz val="11"/>
        <color rgb="FFFF0000"/>
        <rFont val="Segoe UI Light"/>
        <family val="2"/>
      </rPr>
      <t>values</t>
    </r>
    <r>
      <rPr>
        <sz val="11"/>
        <color theme="1"/>
        <rFont val="Segoe UI Light"/>
        <family val="2"/>
      </rPr>
      <t xml:space="preserve">, </t>
    </r>
    <r>
      <rPr>
        <sz val="11"/>
        <color rgb="FF7030A0"/>
        <rFont val="Segoe UI Light"/>
        <family val="2"/>
      </rPr>
      <t>dates</t>
    </r>
    <r>
      <rPr>
        <sz val="11"/>
        <color theme="1"/>
        <rFont val="Segoe UI Light"/>
        <family val="2"/>
      </rPr>
      <t>)</t>
    </r>
  </si>
  <si>
    <r>
      <t>=IRR(</t>
    </r>
    <r>
      <rPr>
        <sz val="11"/>
        <color rgb="FFFF0000"/>
        <rFont val="Segoe UI Light"/>
        <family val="2"/>
      </rPr>
      <t>values</t>
    </r>
    <r>
      <rPr>
        <sz val="11"/>
        <color theme="1"/>
        <rFont val="Segoe UI Light"/>
        <family val="2"/>
      </rPr>
      <t>, [</t>
    </r>
    <r>
      <rPr>
        <sz val="11"/>
        <color rgb="FF00B050"/>
        <rFont val="Segoe UI Light"/>
        <family val="2"/>
      </rPr>
      <t>guess</t>
    </r>
    <r>
      <rPr>
        <sz val="11"/>
        <color theme="1"/>
        <rFont val="Segoe UI Light"/>
        <family val="2"/>
      </rPr>
      <t>])</t>
    </r>
  </si>
  <si>
    <r>
      <rPr>
        <sz val="11"/>
        <color rgb="FF00B050"/>
        <rFont val="Segoe UI Light"/>
        <family val="2"/>
      </rPr>
      <t>guess</t>
    </r>
    <r>
      <rPr>
        <sz val="11"/>
        <color theme="1"/>
        <rFont val="Segoe UI Light"/>
        <family val="2"/>
      </rPr>
      <t xml:space="preserve"> =</t>
    </r>
  </si>
  <si>
    <r>
      <t>=XIRR(</t>
    </r>
    <r>
      <rPr>
        <sz val="11"/>
        <color rgb="FFFF0000"/>
        <rFont val="Segoe UI Light"/>
        <family val="2"/>
      </rPr>
      <t>values</t>
    </r>
    <r>
      <rPr>
        <sz val="11"/>
        <color theme="1"/>
        <rFont val="Segoe UI Light"/>
        <family val="2"/>
      </rPr>
      <t xml:space="preserve">, </t>
    </r>
    <r>
      <rPr>
        <sz val="11"/>
        <color rgb="FF00B050"/>
        <rFont val="Segoe UI Light"/>
        <family val="2"/>
      </rPr>
      <t>dates</t>
    </r>
    <r>
      <rPr>
        <sz val="11"/>
        <color theme="1"/>
        <rFont val="Segoe UI Light"/>
        <family val="2"/>
      </rPr>
      <t>, [</t>
    </r>
    <r>
      <rPr>
        <sz val="11"/>
        <color rgb="FF7030A0"/>
        <rFont val="Segoe UI Light"/>
        <family val="2"/>
      </rPr>
      <t>guess</t>
    </r>
    <r>
      <rPr>
        <sz val="11"/>
        <color theme="1"/>
        <rFont val="Segoe UI Light"/>
        <family val="2"/>
      </rPr>
      <t>])</t>
    </r>
  </si>
  <si>
    <t>Operating Expenses</t>
  </si>
  <si>
    <t xml:space="preserve">Net Profit = Gross Profit Minus Taxes + Expenses </t>
  </si>
  <si>
    <t>Gross Profit= Revenue Minus Cost of Goods</t>
  </si>
  <si>
    <t xml:space="preserve">Revenue </t>
  </si>
  <si>
    <t xml:space="preserve">Net Sales </t>
  </si>
  <si>
    <t>Net Sales= Revenue Minus Discounts + Allowances + Returns</t>
  </si>
  <si>
    <r>
      <t xml:space="preserve">1. </t>
    </r>
    <r>
      <rPr>
        <b/>
        <sz val="10"/>
        <color theme="1"/>
        <rFont val="Segoe UI Light"/>
        <family val="2"/>
      </rPr>
      <t>Data Validation:</t>
    </r>
    <r>
      <rPr>
        <sz val="10"/>
        <color theme="1"/>
        <rFont val="Segoe UI Light"/>
        <family val="2"/>
      </rPr>
      <t xml:space="preserve"> Karey</t>
    </r>
    <r>
      <rPr>
        <b/>
        <sz val="10"/>
        <color theme="1"/>
        <rFont val="Segoe UI Light"/>
        <family val="2"/>
      </rPr>
      <t xml:space="preserve"> </t>
    </r>
    <r>
      <rPr>
        <sz val="10"/>
        <color theme="1"/>
        <rFont val="Segoe UI Light"/>
        <family val="2"/>
      </rPr>
      <t>added a dropdown menu for 1, 2, 3 in the orange cell below</t>
    </r>
  </si>
  <si>
    <r>
      <t xml:space="preserve">2. </t>
    </r>
    <r>
      <rPr>
        <b/>
        <sz val="10"/>
        <color theme="1"/>
        <rFont val="Segoe UI Light"/>
        <family val="2"/>
      </rPr>
      <t xml:space="preserve">CHOOSE: </t>
    </r>
    <r>
      <rPr>
        <sz val="10"/>
        <color theme="1"/>
        <rFont val="Segoe UI Light"/>
        <family val="2"/>
      </rPr>
      <t>Karey used the CHOOSE function to populate the active case in the grey cells below</t>
    </r>
  </si>
  <si>
    <r>
      <t xml:space="preserve">3. Refer to the green cells below. Karey used </t>
    </r>
    <r>
      <rPr>
        <b/>
        <sz val="10"/>
        <color theme="1"/>
        <rFont val="Segoe UI Light"/>
        <family val="2"/>
      </rPr>
      <t xml:space="preserve">advanced cell locking </t>
    </r>
    <r>
      <rPr>
        <sz val="10"/>
        <color theme="1"/>
        <rFont val="Segoe UI Light"/>
        <family val="2"/>
      </rPr>
      <t>techniques to quickly populate some of the calculations</t>
    </r>
  </si>
  <si>
    <r>
      <t xml:space="preserve">4. Karey used </t>
    </r>
    <r>
      <rPr>
        <b/>
        <sz val="10"/>
        <color theme="1"/>
        <rFont val="Segoe UI Light"/>
        <family val="2"/>
      </rPr>
      <t>EOMONTH</t>
    </r>
    <r>
      <rPr>
        <sz val="10"/>
        <color theme="1"/>
        <rFont val="Segoe UI Light"/>
        <family val="2"/>
      </rPr>
      <t xml:space="preserve"> to populate the dates past 12/31/17 in the grey cells below</t>
    </r>
  </si>
  <si>
    <r>
      <t>5. Karey used the</t>
    </r>
    <r>
      <rPr>
        <b/>
        <sz val="10"/>
        <color theme="1"/>
        <rFont val="Segoe UI Light"/>
        <family val="2"/>
      </rPr>
      <t xml:space="preserve"> assumptions</t>
    </r>
    <r>
      <rPr>
        <sz val="10"/>
        <color theme="1"/>
        <rFont val="Segoe UI Light"/>
        <family val="2"/>
      </rPr>
      <t xml:space="preserve"> above to project the income statement line items (orange cells)</t>
    </r>
  </si>
  <si>
    <r>
      <t xml:space="preserve">6. Karey calculated the </t>
    </r>
    <r>
      <rPr>
        <b/>
        <sz val="10"/>
        <color theme="1"/>
        <rFont val="Segoe UI Light"/>
        <family val="2"/>
      </rPr>
      <t>total profit</t>
    </r>
    <r>
      <rPr>
        <sz val="10"/>
        <color theme="1"/>
        <rFont val="Segoe UI Light"/>
        <family val="2"/>
      </rPr>
      <t xml:space="preserve"> in the five-year period in the yellow cell below</t>
    </r>
  </si>
  <si>
    <r>
      <t xml:space="preserve">7. </t>
    </r>
    <r>
      <rPr>
        <b/>
        <sz val="10"/>
        <color theme="1"/>
        <rFont val="Segoe UI Light"/>
        <family val="2"/>
      </rPr>
      <t xml:space="preserve">Data Tables: </t>
    </r>
    <r>
      <rPr>
        <sz val="10"/>
        <color theme="1"/>
        <rFont val="Segoe UI Light"/>
        <family val="2"/>
      </rPr>
      <t>Karey filled</t>
    </r>
    <r>
      <rPr>
        <b/>
        <sz val="10"/>
        <color theme="1"/>
        <rFont val="Segoe UI Light"/>
        <family val="2"/>
      </rPr>
      <t xml:space="preserve"> </t>
    </r>
    <r>
      <rPr>
        <sz val="10"/>
        <color theme="1"/>
        <rFont val="Segoe UI Light"/>
        <family val="2"/>
      </rPr>
      <t>out the sensitivity table based on the inputs on the table</t>
    </r>
  </si>
  <si>
    <r>
      <t xml:space="preserve">8. Karey used </t>
    </r>
    <r>
      <rPr>
        <b/>
        <sz val="10"/>
        <color theme="1"/>
        <rFont val="Segoe UI Light"/>
        <family val="2"/>
      </rPr>
      <t xml:space="preserve">conditional formatting </t>
    </r>
    <r>
      <rPr>
        <sz val="10"/>
        <color theme="1"/>
        <rFont val="Segoe UI Light"/>
        <family val="2"/>
      </rPr>
      <t>with green highlighting for cells that are above the profit threshold (note that the threshold could change, so the conditional formatting should be dynamic)</t>
    </r>
  </si>
  <si>
    <t>SAMPLE Internal Peer (Per Unique Job) Outlier Analysis</t>
  </si>
  <si>
    <t xml:space="preserve">Employee Salary </t>
  </si>
  <si>
    <t xml:space="preserve">These two employees would be flagged for pay equity or compression issues </t>
  </si>
  <si>
    <t xml:space="preserve">By understanding how a company generates revenue, and performance targets, then we can design the bonus funding scale from scratch later on </t>
  </si>
  <si>
    <t>Notes- Karey W</t>
  </si>
  <si>
    <t>Karey will determine the NPV of the cash flows below (assuming cash flows happen at the end of the period)</t>
  </si>
  <si>
    <t>1)</t>
  </si>
  <si>
    <t>2)</t>
  </si>
  <si>
    <t>Karey determine the NPV of the cash flows below (assuming cash flows happen at the end of the period)</t>
  </si>
  <si>
    <t>Goal Seek to calculate the Rate that makes the NPV=0</t>
  </si>
  <si>
    <t xml:space="preserve"> IRR Calculations for an investment in which the cash flows are as follows:</t>
  </si>
  <si>
    <t>IRR Calculation for an investment in which the cash flows are as follows:</t>
  </si>
  <si>
    <r>
      <rPr>
        <b/>
        <sz val="11"/>
        <color rgb="FFFF0000"/>
        <rFont val="Segoe UI Light"/>
        <family val="2"/>
      </rPr>
      <t xml:space="preserve">Example: </t>
    </r>
    <r>
      <rPr>
        <sz val="11"/>
        <color rgb="FFFF0000"/>
        <rFont val="Segoe UI Light"/>
        <family val="2"/>
      </rPr>
      <t>Calculation of the bond yield for the bond below</t>
    </r>
  </si>
  <si>
    <t>DAQO (Ticker: DQ)</t>
  </si>
  <si>
    <t>Total Daily Volume</t>
  </si>
  <si>
    <t>Return</t>
  </si>
  <si>
    <t>The VBA will have the message box pop up with the toal daily volume #</t>
  </si>
  <si>
    <t>VSLR</t>
  </si>
  <si>
    <t>TERP</t>
  </si>
  <si>
    <t>SPWR</t>
  </si>
  <si>
    <t>SEDG</t>
  </si>
  <si>
    <t>RUN</t>
  </si>
  <si>
    <t>JKS</t>
  </si>
  <si>
    <t>HASI</t>
  </si>
  <si>
    <t>FSLR</t>
  </si>
  <si>
    <t>ENPH</t>
  </si>
  <si>
    <t>DQ</t>
  </si>
  <si>
    <t>CSIQ</t>
  </si>
  <si>
    <t>AY</t>
  </si>
  <si>
    <t>Ticker</t>
  </si>
  <si>
    <t>All Stocks (2018)</t>
  </si>
  <si>
    <t>Goal seek is where we have the end result and we want to find out what x is from x+y=z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</si>
</sst>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_(#,##0.0%_);\(#,##0.0%\);_(&quot;–&quot;_)_%;_(@_)_%"/>
    <numFmt numFmtId="167" formatCode="0.0%"/>
    <numFmt numFmtId="168" formatCode="_([$$]#,##0_)_%;\([$$]#,##0\)_%;_(&quot;–&quot;_)_%;_(@_)_%"/>
    <numFmt numFmtId="169" formatCode="_([$$]#,##0.00_)_%;\([$$]#,##0.00\)_%;_(&quot;–&quot;_)_%;_(@_)_%"/>
    <numFmt numFmtId="170" formatCode="_(0.0\x_)_)_';_(\(0.0\x\)_'_';_(&quot;–&quot;_)_%;_(@_)_%"/>
    <numFmt numFmtId="171" formatCode="_(#,##0_)_%;\(#,##0\)_%;_(&quot;–&quot;_)_%;_(@_)_%"/>
    <numFmt numFmtId="172" formatCode="[$$-540A]#,##0.00_);\([$$-540A]#,##0.00\)"/>
    <numFmt numFmtId="173" formatCode="m/d/yyyy;@"/>
    <numFmt numFmtId="174" formatCode="[$$-540A]#,##0_);\([$$-540A]#,##0\)"/>
    <numFmt numFmtId="175" formatCode="[$-409]h:mm:ss\ AM/PM"/>
  </numFmts>
  <fonts count="3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5"/>
      <color theme="3" tint="-0.249977111117893"/>
      <name val="Segoe UI Light"/>
      <family val="2"/>
    </font>
    <font>
      <b/>
      <sz val="12"/>
      <color theme="3"/>
      <name val="Segoe UI Light"/>
      <family val="2"/>
    </font>
    <font>
      <sz val="11"/>
      <color theme="1"/>
      <name val="Segoe UI Light"/>
      <family val="2"/>
    </font>
    <font>
      <b/>
      <sz val="11"/>
      <color theme="1"/>
      <name val="Segoe UI Light"/>
      <family val="2"/>
    </font>
    <font>
      <u val="singleAccounting"/>
      <sz val="11"/>
      <color theme="1"/>
      <name val="Segoe UI Light"/>
      <family val="2"/>
    </font>
    <font>
      <b/>
      <u val="singleAccounting"/>
      <sz val="11"/>
      <color theme="0"/>
      <name val="Segoe UI Light"/>
      <family val="2"/>
    </font>
    <font>
      <sz val="11"/>
      <color rgb="FFFF0000"/>
      <name val="Segoe UI Light"/>
      <family val="2"/>
    </font>
    <font>
      <b/>
      <sz val="11"/>
      <color theme="0"/>
      <name val="Segoe UI Light"/>
      <family val="2"/>
    </font>
    <font>
      <b/>
      <u val="singleAccounting"/>
      <sz val="11"/>
      <color theme="1"/>
      <name val="Segoe UI Light"/>
      <family val="2"/>
    </font>
    <font>
      <sz val="11"/>
      <name val="Segoe UI Light"/>
      <family val="2"/>
    </font>
    <font>
      <sz val="11"/>
      <color rgb="FF0000FF"/>
      <name val="Segoe UI Light"/>
      <family val="2"/>
    </font>
    <font>
      <sz val="11"/>
      <color rgb="FF000000"/>
      <name val="Segoe UI Light"/>
      <family val="2"/>
    </font>
    <font>
      <i/>
      <sz val="11"/>
      <color theme="1"/>
      <name val="Segoe UI Light"/>
      <family val="2"/>
    </font>
    <font>
      <sz val="11"/>
      <color rgb="FF0070C0"/>
      <name val="Segoe UI Light"/>
      <family val="2"/>
    </font>
    <font>
      <sz val="11"/>
      <color rgb="FF7030A0"/>
      <name val="Segoe UI Light"/>
      <family val="2"/>
    </font>
    <font>
      <sz val="11"/>
      <color rgb="FF00B050"/>
      <name val="Segoe UI Light"/>
      <family val="2"/>
    </font>
    <font>
      <b/>
      <sz val="11"/>
      <color rgb="FFFF0000"/>
      <name val="Segoe UI Light"/>
      <family val="2"/>
    </font>
    <font>
      <b/>
      <sz val="10"/>
      <color theme="3" tint="-0.249977111117893"/>
      <name val="Segoe UI Light"/>
      <family val="2"/>
    </font>
    <font>
      <b/>
      <sz val="10"/>
      <color theme="3"/>
      <name val="Segoe UI Light"/>
      <family val="2"/>
    </font>
    <font>
      <sz val="10"/>
      <color theme="1"/>
      <name val="Segoe UI Light"/>
      <family val="2"/>
    </font>
    <font>
      <b/>
      <sz val="10"/>
      <color theme="1"/>
      <name val="Segoe UI Light"/>
      <family val="2"/>
    </font>
    <font>
      <sz val="10"/>
      <color theme="1" tint="0.34998626667073579"/>
      <name val="Segoe UI Light"/>
      <family val="2"/>
    </font>
    <font>
      <sz val="10"/>
      <color rgb="FFFF0000"/>
      <name val="Segoe UI Light"/>
      <family val="2"/>
    </font>
    <font>
      <b/>
      <sz val="10"/>
      <color theme="1" tint="0.34998626667073579"/>
      <name val="Segoe UI Light"/>
      <family val="2"/>
    </font>
    <font>
      <b/>
      <sz val="10"/>
      <color rgb="FF0070C0"/>
      <name val="Segoe UI Light"/>
      <family val="2"/>
    </font>
    <font>
      <u val="singleAccounting"/>
      <sz val="10"/>
      <color theme="1"/>
      <name val="Segoe UI Light"/>
      <family val="2"/>
    </font>
    <font>
      <b/>
      <u val="singleAccounting"/>
      <sz val="10"/>
      <color theme="1"/>
      <name val="Segoe UI Light"/>
      <family val="2"/>
    </font>
    <font>
      <sz val="10"/>
      <name val="Segoe UI Light"/>
      <family val="2"/>
    </font>
    <font>
      <b/>
      <sz val="10"/>
      <color rgb="FF000000"/>
      <name val="Segoe UI Light"/>
      <family val="2"/>
    </font>
    <font>
      <b/>
      <sz val="10"/>
      <name val="Segoe UI Light"/>
      <family val="2"/>
    </font>
    <font>
      <b/>
      <sz val="10"/>
      <color rgb="FFFF0000"/>
      <name val="Segoe UI Light"/>
      <family val="2"/>
    </font>
    <font>
      <b/>
      <u val="singleAccounting"/>
      <sz val="11"/>
      <color rgb="FF000000"/>
      <name val="Segoe UI Light"/>
      <family val="2"/>
    </font>
    <font>
      <i/>
      <sz val="11"/>
      <color rgb="FFFF0000"/>
      <name val="Segoe UI Light"/>
      <family val="2"/>
    </font>
  </fonts>
  <fills count="2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C9DAF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rgb="FFFBE4D5"/>
      </patternFill>
    </fill>
    <fill>
      <patternFill patternType="solid">
        <fgColor rgb="FFECF4FA"/>
        <bgColor rgb="FFECC6F2"/>
      </patternFill>
    </fill>
    <fill>
      <patternFill patternType="solid">
        <fgColor rgb="FF0070C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9FDDB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indexed="64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 style="hair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tted">
        <color indexed="64"/>
      </bottom>
      <diagonal/>
    </border>
    <border>
      <left style="thick">
        <color indexed="64"/>
      </left>
      <right style="dotted">
        <color indexed="64"/>
      </right>
      <top style="thick">
        <color indexed="64"/>
      </top>
      <bottom style="dotted">
        <color indexed="64"/>
      </bottom>
      <diagonal/>
    </border>
    <border>
      <left style="thick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11">
    <xf numFmtId="0" fontId="0" fillId="0" borderId="0"/>
    <xf numFmtId="0" fontId="2" fillId="0" borderId="2" applyNumberFormat="0" applyFill="0" applyAlignment="0" applyProtection="0"/>
    <xf numFmtId="0" fontId="1" fillId="0" borderId="1"/>
    <xf numFmtId="9" fontId="1" fillId="0" borderId="1" applyFont="0" applyFill="0" applyBorder="0" applyAlignment="0" applyProtection="0"/>
    <xf numFmtId="43" fontId="1" fillId="0" borderId="1" applyFont="0" applyFill="0" applyBorder="0" applyAlignment="0" applyProtection="0"/>
    <xf numFmtId="0" fontId="2" fillId="0" borderId="2" applyNumberFormat="0" applyFill="0" applyAlignment="0" applyProtection="0"/>
    <xf numFmtId="0" fontId="1" fillId="0" borderId="1"/>
    <xf numFmtId="0" fontId="5" fillId="0" borderId="1"/>
    <xf numFmtId="0" fontId="1" fillId="0" borderId="1"/>
    <xf numFmtId="43" fontId="1" fillId="0" borderId="1" applyFont="0" applyFill="0" applyBorder="0" applyAlignment="0" applyProtection="0"/>
    <xf numFmtId="9" fontId="1" fillId="0" borderId="1" applyFont="0" applyFill="0" applyBorder="0" applyAlignment="0" applyProtection="0"/>
  </cellStyleXfs>
  <cellXfs count="269">
    <xf numFmtId="0" fontId="0" fillId="0" borderId="0" xfId="0"/>
    <xf numFmtId="0" fontId="1" fillId="0" borderId="1" xfId="6"/>
    <xf numFmtId="0" fontId="1" fillId="0" borderId="1" xfId="6" applyAlignment="1">
      <alignment horizontal="left"/>
    </xf>
    <xf numFmtId="0" fontId="8" fillId="0" borderId="1" xfId="6" applyFont="1" applyAlignment="1">
      <alignment vertical="top"/>
    </xf>
    <xf numFmtId="0" fontId="8" fillId="0" borderId="1" xfId="2" applyFont="1" applyAlignment="1">
      <alignment vertical="top"/>
    </xf>
    <xf numFmtId="0" fontId="9" fillId="3" borderId="1" xfId="2" applyFont="1" applyFill="1" applyAlignment="1">
      <alignment vertical="top"/>
    </xf>
    <xf numFmtId="0" fontId="8" fillId="3" borderId="1" xfId="2" applyFont="1" applyFill="1" applyAlignment="1">
      <alignment vertical="top"/>
    </xf>
    <xf numFmtId="14" fontId="11" fillId="13" borderId="17" xfId="2" applyNumberFormat="1" applyFont="1" applyFill="1" applyBorder="1" applyAlignment="1">
      <alignment horizontal="center" vertical="top"/>
    </xf>
    <xf numFmtId="14" fontId="11" fillId="13" borderId="18" xfId="2" applyNumberFormat="1" applyFont="1" applyFill="1" applyBorder="1" applyAlignment="1">
      <alignment horizontal="center" vertical="top"/>
    </xf>
    <xf numFmtId="14" fontId="11" fillId="13" borderId="19" xfId="2" applyNumberFormat="1" applyFont="1" applyFill="1" applyBorder="1" applyAlignment="1">
      <alignment horizontal="center" vertical="top"/>
    </xf>
    <xf numFmtId="0" fontId="13" fillId="13" borderId="12" xfId="2" applyFont="1" applyFill="1" applyBorder="1" applyAlignment="1">
      <alignment horizontal="centerContinuous" vertical="top"/>
    </xf>
    <xf numFmtId="0" fontId="11" fillId="13" borderId="13" xfId="2" applyFont="1" applyFill="1" applyBorder="1" applyAlignment="1">
      <alignment horizontal="centerContinuous" vertical="top"/>
    </xf>
    <xf numFmtId="0" fontId="13" fillId="13" borderId="13" xfId="2" applyFont="1" applyFill="1" applyBorder="1" applyAlignment="1">
      <alignment horizontal="centerContinuous" vertical="top"/>
    </xf>
    <xf numFmtId="0" fontId="13" fillId="13" borderId="14" xfId="2" applyFont="1" applyFill="1" applyBorder="1" applyAlignment="1">
      <alignment horizontal="centerContinuous" vertical="top"/>
    </xf>
    <xf numFmtId="0" fontId="8" fillId="0" borderId="1" xfId="6" applyFont="1" applyAlignment="1">
      <alignment horizontal="left" vertical="top"/>
    </xf>
    <xf numFmtId="0" fontId="6" fillId="0" borderId="1" xfId="1" applyFont="1" applyFill="1" applyBorder="1" applyAlignment="1">
      <alignment horizontal="left" vertical="center"/>
    </xf>
    <xf numFmtId="0" fontId="6" fillId="0" borderId="2" xfId="5" applyFont="1" applyFill="1" applyAlignment="1">
      <alignment horizontal="left" vertical="center"/>
    </xf>
    <xf numFmtId="0" fontId="7" fillId="0" borderId="2" xfId="5" applyFont="1" applyFill="1" applyAlignment="1">
      <alignment horizontal="left" vertical="center"/>
    </xf>
    <xf numFmtId="0" fontId="7" fillId="0" borderId="1" xfId="5" applyFont="1" applyFill="1" applyBorder="1" applyAlignment="1">
      <alignment horizontal="left" vertical="center"/>
    </xf>
    <xf numFmtId="0" fontId="6" fillId="0" borderId="1" xfId="5" applyFont="1" applyFill="1" applyBorder="1" applyAlignment="1">
      <alignment horizontal="left" vertical="center"/>
    </xf>
    <xf numFmtId="0" fontId="8" fillId="0" borderId="1" xfId="6" applyFont="1" applyAlignment="1">
      <alignment horizontal="left"/>
    </xf>
    <xf numFmtId="0" fontId="8" fillId="0" borderId="1" xfId="6" applyFont="1" applyAlignment="1">
      <alignment horizontal="center"/>
    </xf>
    <xf numFmtId="0" fontId="13" fillId="13" borderId="1" xfId="6" applyFont="1" applyFill="1" applyAlignment="1">
      <alignment horizontal="center"/>
    </xf>
    <xf numFmtId="0" fontId="11" fillId="13" borderId="1" xfId="6" applyFont="1" applyFill="1" applyAlignment="1">
      <alignment horizontal="center"/>
    </xf>
    <xf numFmtId="0" fontId="9" fillId="0" borderId="15" xfId="6" applyFont="1" applyBorder="1" applyAlignment="1">
      <alignment horizontal="left"/>
    </xf>
    <xf numFmtId="166" fontId="12" fillId="0" borderId="15" xfId="6" applyNumberFormat="1" applyFont="1" applyBorder="1" applyAlignment="1">
      <alignment horizontal="left"/>
    </xf>
    <xf numFmtId="0" fontId="8" fillId="0" borderId="15" xfId="6" applyFont="1" applyBorder="1" applyAlignment="1">
      <alignment horizontal="left"/>
    </xf>
    <xf numFmtId="170" fontId="12" fillId="0" borderId="15" xfId="6" applyNumberFormat="1" applyFont="1" applyBorder="1" applyAlignment="1">
      <alignment horizontal="left"/>
    </xf>
    <xf numFmtId="0" fontId="9" fillId="0" borderId="1" xfId="6" applyFont="1" applyAlignment="1">
      <alignment horizontal="left"/>
    </xf>
    <xf numFmtId="166" fontId="8" fillId="0" borderId="1" xfId="6" applyNumberFormat="1" applyFont="1" applyAlignment="1">
      <alignment horizontal="left"/>
    </xf>
    <xf numFmtId="0" fontId="8" fillId="13" borderId="1" xfId="6" applyFont="1" applyFill="1" applyAlignment="1">
      <alignment horizontal="center"/>
    </xf>
    <xf numFmtId="171" fontId="8" fillId="0" borderId="15" xfId="6" applyNumberFormat="1" applyFont="1" applyBorder="1" applyAlignment="1">
      <alignment horizontal="left"/>
    </xf>
    <xf numFmtId="171" fontId="8" fillId="19" borderId="15" xfId="6" applyNumberFormat="1" applyFont="1" applyFill="1" applyBorder="1" applyAlignment="1">
      <alignment horizontal="left"/>
    </xf>
    <xf numFmtId="166" fontId="8" fillId="0" borderId="15" xfId="6" applyNumberFormat="1" applyFont="1" applyBorder="1" applyAlignment="1">
      <alignment horizontal="left"/>
    </xf>
    <xf numFmtId="166" fontId="8" fillId="19" borderId="15" xfId="6" applyNumberFormat="1" applyFont="1" applyFill="1" applyBorder="1" applyAlignment="1">
      <alignment horizontal="left"/>
    </xf>
    <xf numFmtId="0" fontId="6" fillId="0" borderId="1" xfId="1" applyFont="1" applyFill="1" applyBorder="1" applyAlignment="1">
      <alignment vertical="center"/>
    </xf>
    <xf numFmtId="0" fontId="6" fillId="0" borderId="2" xfId="1" applyFont="1" applyFill="1" applyAlignment="1">
      <alignment vertical="center"/>
    </xf>
    <xf numFmtId="0" fontId="7" fillId="0" borderId="2" xfId="1" applyFont="1" applyFill="1" applyAlignment="1">
      <alignment horizontal="right" vertical="center"/>
    </xf>
    <xf numFmtId="0" fontId="7" fillId="0" borderId="1" xfId="1" applyFont="1" applyFill="1" applyBorder="1" applyAlignment="1">
      <alignment horizontal="center" vertical="center"/>
    </xf>
    <xf numFmtId="0" fontId="8" fillId="0" borderId="1" xfId="6" applyFont="1"/>
    <xf numFmtId="0" fontId="8" fillId="0" borderId="1" xfId="7" applyFont="1"/>
    <xf numFmtId="0" fontId="9" fillId="0" borderId="1" xfId="7" applyFont="1" applyAlignment="1">
      <alignment horizontal="center"/>
    </xf>
    <xf numFmtId="0" fontId="8" fillId="0" borderId="1" xfId="7" applyFont="1" applyAlignment="1">
      <alignment horizontal="left" indent="1"/>
    </xf>
    <xf numFmtId="165" fontId="16" fillId="0" borderId="1" xfId="9" applyNumberFormat="1" applyFont="1" applyFill="1"/>
    <xf numFmtId="165" fontId="16" fillId="0" borderId="1" xfId="9" applyNumberFormat="1" applyFont="1" applyFill="1" applyBorder="1"/>
    <xf numFmtId="165" fontId="16" fillId="0" borderId="9" xfId="9" applyNumberFormat="1" applyFont="1" applyFill="1" applyBorder="1"/>
    <xf numFmtId="165" fontId="15" fillId="7" borderId="1" xfId="9" applyNumberFormat="1" applyFont="1" applyFill="1" applyBorder="1"/>
    <xf numFmtId="0" fontId="8" fillId="0" borderId="4" xfId="7" applyFont="1" applyBorder="1"/>
    <xf numFmtId="165" fontId="15" fillId="7" borderId="4" xfId="9" applyNumberFormat="1" applyFont="1" applyFill="1" applyBorder="1"/>
    <xf numFmtId="165" fontId="15" fillId="7" borderId="10" xfId="9" applyNumberFormat="1" applyFont="1" applyFill="1" applyBorder="1"/>
    <xf numFmtId="165" fontId="15" fillId="0" borderId="1" xfId="9" applyNumberFormat="1" applyFont="1" applyFill="1" applyBorder="1"/>
    <xf numFmtId="165" fontId="12" fillId="0" borderId="1" xfId="9" applyNumberFormat="1" applyFont="1" applyFill="1" applyBorder="1"/>
    <xf numFmtId="165" fontId="12" fillId="0" borderId="1" xfId="9" applyNumberFormat="1" applyFont="1" applyFill="1"/>
    <xf numFmtId="0" fontId="8" fillId="0" borderId="11" xfId="7" applyFont="1" applyBorder="1"/>
    <xf numFmtId="165" fontId="15" fillId="7" borderId="11" xfId="9" applyNumberFormat="1" applyFont="1" applyFill="1" applyBorder="1"/>
    <xf numFmtId="0" fontId="15" fillId="0" borderId="1" xfId="8" applyFont="1"/>
    <xf numFmtId="0" fontId="15" fillId="0" borderId="9" xfId="8" applyFont="1" applyBorder="1"/>
    <xf numFmtId="167" fontId="17" fillId="0" borderId="1" xfId="10" applyNumberFormat="1" applyFont="1" applyFill="1"/>
    <xf numFmtId="9" fontId="8" fillId="0" borderId="1" xfId="7" applyNumberFormat="1" applyFont="1"/>
    <xf numFmtId="0" fontId="9" fillId="0" borderId="1" xfId="7" applyFont="1"/>
    <xf numFmtId="0" fontId="8" fillId="0" borderId="1" xfId="6" applyFont="1" applyAlignment="1">
      <alignment horizontal="left" indent="1"/>
    </xf>
    <xf numFmtId="0" fontId="8" fillId="0" borderId="1" xfId="6" quotePrefix="1" applyFont="1" applyAlignment="1">
      <alignment horizontal="right"/>
    </xf>
    <xf numFmtId="0" fontId="18" fillId="0" borderId="1" xfId="6" applyFont="1" applyAlignment="1">
      <alignment horizontal="right"/>
    </xf>
    <xf numFmtId="0" fontId="10" fillId="0" borderId="1" xfId="6" applyFont="1" applyAlignment="1">
      <alignment horizontal="center"/>
    </xf>
    <xf numFmtId="168" fontId="8" fillId="4" borderId="1" xfId="9" applyNumberFormat="1" applyFont="1" applyFill="1"/>
    <xf numFmtId="0" fontId="8" fillId="0" borderId="1" xfId="6" quotePrefix="1" applyFont="1"/>
    <xf numFmtId="165" fontId="8" fillId="0" borderId="1" xfId="9" applyNumberFormat="1" applyFont="1" applyFill="1"/>
    <xf numFmtId="168" fontId="8" fillId="0" borderId="1" xfId="6" applyNumberFormat="1" applyFont="1"/>
    <xf numFmtId="167" fontId="8" fillId="9" borderId="1" xfId="10" applyNumberFormat="1" applyFont="1" applyFill="1"/>
    <xf numFmtId="168" fontId="8" fillId="4" borderId="1" xfId="6" applyNumberFormat="1" applyFont="1" applyFill="1"/>
    <xf numFmtId="0" fontId="9" fillId="0" borderId="1" xfId="6" applyFont="1"/>
    <xf numFmtId="0" fontId="8" fillId="0" borderId="1" xfId="6" quotePrefix="1" applyFont="1" applyAlignment="1">
      <alignment horizontal="left" indent="1"/>
    </xf>
    <xf numFmtId="0" fontId="8" fillId="0" borderId="1" xfId="6" applyFont="1" applyAlignment="1">
      <alignment horizontal="right"/>
    </xf>
    <xf numFmtId="0" fontId="8" fillId="0" borderId="1" xfId="6" quotePrefix="1" applyFont="1" applyAlignment="1">
      <alignment horizontal="left"/>
    </xf>
    <xf numFmtId="0" fontId="15" fillId="0" borderId="1" xfId="6" quotePrefix="1" applyFont="1" applyAlignment="1">
      <alignment horizontal="left" indent="1"/>
    </xf>
    <xf numFmtId="0" fontId="20" fillId="0" borderId="1" xfId="6" applyFont="1" applyAlignment="1">
      <alignment horizontal="right"/>
    </xf>
    <xf numFmtId="14" fontId="10" fillId="0" borderId="1" xfId="6" applyNumberFormat="1" applyFont="1" applyAlignment="1">
      <alignment horizontal="center"/>
    </xf>
    <xf numFmtId="166" fontId="8" fillId="0" borderId="1" xfId="10" applyNumberFormat="1" applyFont="1"/>
    <xf numFmtId="0" fontId="18" fillId="0" borderId="1" xfId="6" applyFont="1"/>
    <xf numFmtId="167" fontId="8" fillId="4" borderId="1" xfId="6" applyNumberFormat="1" applyFont="1" applyFill="1"/>
    <xf numFmtId="9" fontId="8" fillId="0" borderId="1" xfId="6" applyNumberFormat="1" applyFont="1"/>
    <xf numFmtId="168" fontId="8" fillId="0" borderId="1" xfId="6" applyNumberFormat="1" applyFont="1" applyAlignment="1">
      <alignment horizontal="center"/>
    </xf>
    <xf numFmtId="173" fontId="8" fillId="0" borderId="1" xfId="6" applyNumberFormat="1" applyFont="1" applyAlignment="1">
      <alignment horizontal="center"/>
    </xf>
    <xf numFmtId="0" fontId="8" fillId="13" borderId="12" xfId="2" applyFont="1" applyFill="1" applyBorder="1" applyAlignment="1">
      <alignment vertical="top"/>
    </xf>
    <xf numFmtId="0" fontId="11" fillId="13" borderId="12" xfId="2" applyFont="1" applyFill="1" applyBorder="1" applyAlignment="1">
      <alignment horizontal="centerContinuous" vertical="top"/>
    </xf>
    <xf numFmtId="0" fontId="23" fillId="0" borderId="1" xfId="1" applyFont="1" applyFill="1" applyBorder="1" applyAlignment="1">
      <alignment horizontal="left" vertical="top"/>
    </xf>
    <xf numFmtId="0" fontId="23" fillId="0" borderId="2" xfId="1" applyFont="1" applyFill="1" applyAlignment="1">
      <alignment horizontal="left" vertical="top"/>
    </xf>
    <xf numFmtId="0" fontId="24" fillId="0" borderId="2" xfId="1" applyFont="1" applyFill="1" applyAlignment="1">
      <alignment horizontal="left" vertical="top"/>
    </xf>
    <xf numFmtId="0" fontId="24" fillId="0" borderId="1" xfId="1" applyFont="1" applyFill="1" applyBorder="1" applyAlignment="1">
      <alignment horizontal="left" vertical="top"/>
    </xf>
    <xf numFmtId="0" fontId="25" fillId="0" borderId="1" xfId="6" applyFont="1" applyAlignment="1">
      <alignment horizontal="left" vertical="top"/>
    </xf>
    <xf numFmtId="165" fontId="26" fillId="0" borderId="0" xfId="0" applyNumberFormat="1" applyFont="1" applyAlignment="1">
      <alignment horizontal="left" vertical="top"/>
    </xf>
    <xf numFmtId="0" fontId="25" fillId="0" borderId="0" xfId="0" applyFont="1" applyAlignment="1">
      <alignment horizontal="left" vertical="top"/>
    </xf>
    <xf numFmtId="9" fontId="25" fillId="0" borderId="0" xfId="0" applyNumberFormat="1" applyFont="1" applyAlignment="1">
      <alignment horizontal="left" vertical="top"/>
    </xf>
    <xf numFmtId="0" fontId="25" fillId="9" borderId="1" xfId="2" applyFont="1" applyFill="1" applyAlignment="1">
      <alignment horizontal="left" vertical="top"/>
    </xf>
    <xf numFmtId="0" fontId="25" fillId="0" borderId="1" xfId="6" applyFont="1" applyAlignment="1">
      <alignment horizontal="center" vertical="top"/>
    </xf>
    <xf numFmtId="0" fontId="26" fillId="20" borderId="20" xfId="0" applyFont="1" applyFill="1" applyBorder="1" applyAlignment="1">
      <alignment horizontal="center" vertical="top"/>
    </xf>
    <xf numFmtId="165" fontId="26" fillId="20" borderId="21" xfId="0" applyNumberFormat="1" applyFont="1" applyFill="1" applyBorder="1" applyAlignment="1">
      <alignment horizontal="center" vertical="top"/>
    </xf>
    <xf numFmtId="9" fontId="26" fillId="20" borderId="21" xfId="0" applyNumberFormat="1" applyFont="1" applyFill="1" applyBorder="1" applyAlignment="1">
      <alignment horizontal="center" vertical="top"/>
    </xf>
    <xf numFmtId="164" fontId="26" fillId="20" borderId="22" xfId="0" applyNumberFormat="1" applyFont="1" applyFill="1" applyBorder="1" applyAlignment="1">
      <alignment horizontal="center" vertical="top"/>
    </xf>
    <xf numFmtId="0" fontId="25" fillId="0" borderId="0" xfId="0" applyFont="1" applyAlignment="1">
      <alignment horizontal="center" vertical="top"/>
    </xf>
    <xf numFmtId="165" fontId="27" fillId="12" borderId="16" xfId="0" applyNumberFormat="1" applyFont="1" applyFill="1" applyBorder="1" applyAlignment="1">
      <alignment horizontal="left" vertical="top"/>
    </xf>
    <xf numFmtId="9" fontId="27" fillId="12" borderId="16" xfId="0" applyNumberFormat="1" applyFont="1" applyFill="1" applyBorder="1" applyAlignment="1">
      <alignment horizontal="left" vertical="top"/>
    </xf>
    <xf numFmtId="165" fontId="27" fillId="12" borderId="15" xfId="0" applyNumberFormat="1" applyFont="1" applyFill="1" applyBorder="1" applyAlignment="1">
      <alignment horizontal="left" vertical="top"/>
    </xf>
    <xf numFmtId="9" fontId="27" fillId="12" borderId="15" xfId="0" applyNumberFormat="1" applyFont="1" applyFill="1" applyBorder="1" applyAlignment="1">
      <alignment horizontal="left" vertical="top"/>
    </xf>
    <xf numFmtId="165" fontId="27" fillId="0" borderId="15" xfId="0" applyNumberFormat="1" applyFont="1" applyBorder="1" applyAlignment="1">
      <alignment horizontal="left" vertical="top"/>
    </xf>
    <xf numFmtId="9" fontId="27" fillId="2" borderId="15" xfId="0" applyNumberFormat="1" applyFont="1" applyFill="1" applyBorder="1" applyAlignment="1">
      <alignment horizontal="left" vertical="top"/>
    </xf>
    <xf numFmtId="0" fontId="27" fillId="2" borderId="15" xfId="0" applyFont="1" applyFill="1" applyBorder="1" applyAlignment="1">
      <alignment horizontal="left" vertical="top"/>
    </xf>
    <xf numFmtId="0" fontId="26" fillId="2" borderId="1" xfId="0" applyFont="1" applyFill="1" applyBorder="1" applyAlignment="1">
      <alignment horizontal="left" vertical="top"/>
    </xf>
    <xf numFmtId="165" fontId="26" fillId="2" borderId="1" xfId="0" applyNumberFormat="1" applyFont="1" applyFill="1" applyBorder="1" applyAlignment="1">
      <alignment horizontal="left" vertical="top"/>
    </xf>
    <xf numFmtId="9" fontId="25" fillId="2" borderId="1" xfId="0" applyNumberFormat="1" applyFont="1" applyFill="1" applyBorder="1" applyAlignment="1">
      <alignment horizontal="left" vertical="top"/>
    </xf>
    <xf numFmtId="0" fontId="25" fillId="2" borderId="1" xfId="0" applyFont="1" applyFill="1" applyBorder="1" applyAlignment="1">
      <alignment horizontal="left" vertical="top"/>
    </xf>
    <xf numFmtId="0" fontId="29" fillId="0" borderId="15" xfId="0" applyFont="1" applyBorder="1" applyAlignment="1">
      <alignment horizontal="left" vertical="top"/>
    </xf>
    <xf numFmtId="164" fontId="27" fillId="0" borderId="15" xfId="0" applyNumberFormat="1" applyFont="1" applyBorder="1" applyAlignment="1">
      <alignment horizontal="left" vertical="top"/>
    </xf>
    <xf numFmtId="0" fontId="29" fillId="11" borderId="15" xfId="0" applyFont="1" applyFill="1" applyBorder="1" applyAlignment="1">
      <alignment horizontal="left" vertical="top"/>
    </xf>
    <xf numFmtId="0" fontId="29" fillId="0" borderId="15" xfId="0" quotePrefix="1" applyFont="1" applyBorder="1" applyAlignment="1">
      <alignment horizontal="left" vertical="top"/>
    </xf>
    <xf numFmtId="0" fontId="26" fillId="0" borderId="1" xfId="0" quotePrefix="1" applyFont="1" applyBorder="1" applyAlignment="1">
      <alignment horizontal="left" vertical="top"/>
    </xf>
    <xf numFmtId="165" fontId="25" fillId="0" borderId="1" xfId="0" applyNumberFormat="1" applyFont="1" applyBorder="1" applyAlignment="1">
      <alignment horizontal="left" vertical="top"/>
    </xf>
    <xf numFmtId="0" fontId="26" fillId="0" borderId="0" xfId="0" applyFont="1" applyAlignment="1">
      <alignment horizontal="left" vertical="top"/>
    </xf>
    <xf numFmtId="165" fontId="25" fillId="0" borderId="0" xfId="0" applyNumberFormat="1" applyFont="1" applyAlignment="1">
      <alignment horizontal="left" vertical="top"/>
    </xf>
    <xf numFmtId="0" fontId="30" fillId="0" borderId="0" xfId="0" applyFont="1" applyAlignment="1">
      <alignment horizontal="left" vertical="top"/>
    </xf>
    <xf numFmtId="0" fontId="25" fillId="0" borderId="0" xfId="0" applyFont="1" applyAlignment="1">
      <alignment horizontal="left" vertical="top" wrapText="1"/>
    </xf>
    <xf numFmtId="0" fontId="23" fillId="0" borderId="1" xfId="1" applyFont="1" applyFill="1" applyBorder="1" applyAlignment="1">
      <alignment vertical="top"/>
    </xf>
    <xf numFmtId="0" fontId="23" fillId="0" borderId="2" xfId="1" applyFont="1" applyFill="1" applyAlignment="1">
      <alignment vertical="top"/>
    </xf>
    <xf numFmtId="0" fontId="24" fillId="0" borderId="2" xfId="1" applyFont="1" applyFill="1" applyAlignment="1">
      <alignment horizontal="right" vertical="top"/>
    </xf>
    <xf numFmtId="0" fontId="24" fillId="0" borderId="1" xfId="1" applyFont="1" applyFill="1" applyBorder="1" applyAlignment="1">
      <alignment horizontal="center" vertical="top"/>
    </xf>
    <xf numFmtId="0" fontId="25" fillId="0" borderId="1" xfId="6" applyFont="1" applyAlignment="1">
      <alignment vertical="top"/>
    </xf>
    <xf numFmtId="0" fontId="25" fillId="0" borderId="1" xfId="2" applyFont="1" applyAlignment="1">
      <alignment vertical="top"/>
    </xf>
    <xf numFmtId="0" fontId="26" fillId="3" borderId="1" xfId="2" applyFont="1" applyFill="1" applyAlignment="1">
      <alignment vertical="top"/>
    </xf>
    <xf numFmtId="0" fontId="25" fillId="3" borderId="1" xfId="2" applyFont="1" applyFill="1" applyAlignment="1">
      <alignment vertical="top"/>
    </xf>
    <xf numFmtId="0" fontId="25" fillId="0" borderId="1" xfId="2" quotePrefix="1" applyFont="1" applyAlignment="1">
      <alignment vertical="top"/>
    </xf>
    <xf numFmtId="14" fontId="31" fillId="0" borderId="1" xfId="2" applyNumberFormat="1" applyFont="1" applyAlignment="1">
      <alignment horizontal="center" vertical="top"/>
    </xf>
    <xf numFmtId="0" fontId="26" fillId="0" borderId="1" xfId="2" applyFont="1" applyAlignment="1">
      <alignment vertical="top"/>
    </xf>
    <xf numFmtId="0" fontId="25" fillId="14" borderId="3" xfId="2" applyFont="1" applyFill="1" applyBorder="1" applyAlignment="1">
      <alignment horizontal="center" vertical="top"/>
    </xf>
    <xf numFmtId="0" fontId="26" fillId="0" borderId="16" xfId="2" applyFont="1" applyBorder="1" applyAlignment="1">
      <alignment vertical="top"/>
    </xf>
    <xf numFmtId="166" fontId="25" fillId="17" borderId="16" xfId="3" applyNumberFormat="1" applyFont="1" applyFill="1" applyBorder="1" applyAlignment="1">
      <alignment vertical="top"/>
    </xf>
    <xf numFmtId="166" fontId="28" fillId="0" borderId="16" xfId="3" applyNumberFormat="1" applyFont="1" applyBorder="1" applyAlignment="1">
      <alignment vertical="top"/>
    </xf>
    <xf numFmtId="0" fontId="26" fillId="0" borderId="15" xfId="2" applyFont="1" applyBorder="1" applyAlignment="1">
      <alignment vertical="top"/>
    </xf>
    <xf numFmtId="166" fontId="25" fillId="17" borderId="15" xfId="3" applyNumberFormat="1" applyFont="1" applyFill="1" applyBorder="1" applyAlignment="1">
      <alignment vertical="top"/>
    </xf>
    <xf numFmtId="166" fontId="28" fillId="0" borderId="15" xfId="3" applyNumberFormat="1" applyFont="1" applyBorder="1" applyAlignment="1">
      <alignment vertical="top"/>
    </xf>
    <xf numFmtId="0" fontId="31" fillId="0" borderId="1" xfId="2" applyFont="1" applyAlignment="1">
      <alignment horizontal="centerContinuous" vertical="top"/>
    </xf>
    <xf numFmtId="0" fontId="25" fillId="0" borderId="1" xfId="2" applyFont="1" applyAlignment="1">
      <alignment horizontal="centerContinuous" vertical="top"/>
    </xf>
    <xf numFmtId="14" fontId="32" fillId="0" borderId="1" xfId="2" applyNumberFormat="1" applyFont="1" applyAlignment="1">
      <alignment horizontal="center" vertical="top"/>
    </xf>
    <xf numFmtId="14" fontId="32" fillId="17" borderId="1" xfId="2" applyNumberFormat="1" applyFont="1" applyFill="1" applyAlignment="1">
      <alignment horizontal="center" vertical="top"/>
    </xf>
    <xf numFmtId="14" fontId="25" fillId="0" borderId="1" xfId="2" applyNumberFormat="1" applyFont="1" applyAlignment="1">
      <alignment vertical="top"/>
    </xf>
    <xf numFmtId="0" fontId="26" fillId="0" borderId="15" xfId="2" applyFont="1" applyBorder="1" applyAlignment="1">
      <alignment horizontal="left" vertical="top"/>
    </xf>
    <xf numFmtId="165" fontId="33" fillId="0" borderId="15" xfId="4" applyNumberFormat="1" applyFont="1" applyBorder="1" applyAlignment="1">
      <alignment vertical="top"/>
    </xf>
    <xf numFmtId="165" fontId="33" fillId="14" borderId="15" xfId="4" applyNumberFormat="1" applyFont="1" applyFill="1" applyBorder="1" applyAlignment="1">
      <alignment vertical="top"/>
    </xf>
    <xf numFmtId="0" fontId="28" fillId="0" borderId="1" xfId="2" applyFont="1" applyAlignment="1">
      <alignment horizontal="left" vertical="top"/>
    </xf>
    <xf numFmtId="0" fontId="25" fillId="0" borderId="15" xfId="2" applyFont="1" applyBorder="1" applyAlignment="1">
      <alignment horizontal="left" vertical="top"/>
    </xf>
    <xf numFmtId="165" fontId="34" fillId="5" borderId="15" xfId="4" applyNumberFormat="1" applyFont="1" applyFill="1" applyBorder="1" applyAlignment="1">
      <alignment vertical="top"/>
    </xf>
    <xf numFmtId="165" fontId="34" fillId="15" borderId="15" xfId="4" applyNumberFormat="1" applyFont="1" applyFill="1" applyBorder="1" applyAlignment="1">
      <alignment vertical="top"/>
    </xf>
    <xf numFmtId="165" fontId="34" fillId="21" borderId="15" xfId="4" applyNumberFormat="1" applyFont="1" applyFill="1" applyBorder="1" applyAlignment="1">
      <alignment vertical="top"/>
    </xf>
    <xf numFmtId="0" fontId="33" fillId="0" borderId="1" xfId="2" applyFont="1" applyAlignment="1">
      <alignment vertical="top"/>
    </xf>
    <xf numFmtId="167" fontId="33" fillId="18" borderId="15" xfId="3" applyNumberFormat="1" applyFont="1" applyFill="1" applyBorder="1" applyAlignment="1">
      <alignment vertical="top"/>
    </xf>
    <xf numFmtId="167" fontId="33" fillId="0" borderId="1" xfId="3" applyNumberFormat="1" applyFont="1" applyAlignment="1">
      <alignment vertical="top"/>
    </xf>
    <xf numFmtId="167" fontId="25" fillId="0" borderId="1" xfId="3" applyNumberFormat="1" applyFont="1" applyAlignment="1">
      <alignment vertical="top"/>
    </xf>
    <xf numFmtId="0" fontId="26" fillId="0" borderId="5" xfId="2" quotePrefix="1" applyFont="1" applyBorder="1" applyAlignment="1">
      <alignment horizontal="left" vertical="top"/>
    </xf>
    <xf numFmtId="168" fontId="25" fillId="18" borderId="6" xfId="2" applyNumberFormat="1" applyFont="1" applyFill="1" applyBorder="1" applyAlignment="1">
      <alignment vertical="top"/>
    </xf>
    <xf numFmtId="168" fontId="25" fillId="0" borderId="6" xfId="2" applyNumberFormat="1" applyFont="1" applyBorder="1" applyAlignment="1">
      <alignment vertical="top"/>
    </xf>
    <xf numFmtId="168" fontId="35" fillId="0" borderId="1" xfId="2" applyNumberFormat="1" applyFont="1" applyAlignment="1">
      <alignment horizontal="center" vertical="top"/>
    </xf>
    <xf numFmtId="166" fontId="26" fillId="0" borderId="1" xfId="3" applyNumberFormat="1" applyFont="1" applyBorder="1" applyAlignment="1">
      <alignment horizontal="center" vertical="top"/>
    </xf>
    <xf numFmtId="166" fontId="25" fillId="0" borderId="1" xfId="3" applyNumberFormat="1" applyFont="1" applyBorder="1" applyAlignment="1">
      <alignment horizontal="center" vertical="top"/>
    </xf>
    <xf numFmtId="168" fontId="25" fillId="0" borderId="24" xfId="4" applyNumberFormat="1" applyFont="1" applyBorder="1" applyAlignment="1">
      <alignment vertical="top"/>
    </xf>
    <xf numFmtId="168" fontId="25" fillId="6" borderId="23" xfId="4" applyNumberFormat="1" applyFont="1" applyFill="1" applyBorder="1" applyAlignment="1">
      <alignment vertical="top"/>
    </xf>
    <xf numFmtId="168" fontId="25" fillId="0" borderId="25" xfId="4" applyNumberFormat="1" applyFont="1" applyBorder="1" applyAlignment="1">
      <alignment vertical="top"/>
    </xf>
    <xf numFmtId="168" fontId="25" fillId="0" borderId="15" xfId="4" applyNumberFormat="1" applyFont="1" applyBorder="1" applyAlignment="1">
      <alignment vertical="top"/>
    </xf>
    <xf numFmtId="168" fontId="25" fillId="6" borderId="15" xfId="4" applyNumberFormat="1" applyFont="1" applyFill="1" applyBorder="1" applyAlignment="1">
      <alignment vertical="top"/>
    </xf>
    <xf numFmtId="0" fontId="31" fillId="0" borderId="1" xfId="2" applyFont="1" applyAlignment="1">
      <alignment horizontal="right" vertical="top" textRotation="90"/>
    </xf>
    <xf numFmtId="167" fontId="25" fillId="0" borderId="1" xfId="3" applyNumberFormat="1" applyFont="1" applyBorder="1" applyAlignment="1">
      <alignment horizontal="center" vertical="top"/>
    </xf>
    <xf numFmtId="169" fontId="25" fillId="0" borderId="1" xfId="4" applyNumberFormat="1" applyFont="1" applyAlignment="1">
      <alignment vertical="top"/>
    </xf>
    <xf numFmtId="0" fontId="25" fillId="0" borderId="15" xfId="2" applyFont="1" applyBorder="1" applyAlignment="1">
      <alignment vertical="top"/>
    </xf>
    <xf numFmtId="0" fontId="28" fillId="12" borderId="16" xfId="0" quotePrefix="1" applyFont="1" applyFill="1" applyBorder="1" applyAlignment="1">
      <alignment horizontal="left" vertical="top"/>
    </xf>
    <xf numFmtId="0" fontId="28" fillId="12" borderId="15" xfId="0" applyFont="1" applyFill="1" applyBorder="1" applyAlignment="1">
      <alignment horizontal="left" vertical="top"/>
    </xf>
    <xf numFmtId="0" fontId="23" fillId="9" borderId="2" xfId="1" applyFont="1" applyFill="1" applyAlignment="1">
      <alignment vertical="top"/>
    </xf>
    <xf numFmtId="0" fontId="25" fillId="9" borderId="1" xfId="2" applyFont="1" applyFill="1" applyAlignment="1">
      <alignment vertical="top"/>
    </xf>
    <xf numFmtId="0" fontId="8" fillId="9" borderId="1" xfId="2" applyFont="1" applyFill="1" applyAlignment="1">
      <alignment vertical="top"/>
    </xf>
    <xf numFmtId="0" fontId="25" fillId="9" borderId="1" xfId="2" applyFont="1" applyFill="1" applyAlignment="1">
      <alignment horizontal="centerContinuous" vertical="top"/>
    </xf>
    <xf numFmtId="0" fontId="13" fillId="9" borderId="1" xfId="2" applyFont="1" applyFill="1" applyAlignment="1">
      <alignment horizontal="centerContinuous" vertical="top"/>
    </xf>
    <xf numFmtId="14" fontId="32" fillId="9" borderId="1" xfId="2" applyNumberFormat="1" applyFont="1" applyFill="1" applyAlignment="1">
      <alignment horizontal="center" vertical="top"/>
    </xf>
    <xf numFmtId="165" fontId="33" fillId="9" borderId="1" xfId="4" applyNumberFormat="1" applyFont="1" applyFill="1" applyBorder="1" applyAlignment="1">
      <alignment vertical="top"/>
    </xf>
    <xf numFmtId="165" fontId="34" fillId="21" borderId="1" xfId="4" applyNumberFormat="1" applyFont="1" applyFill="1" applyBorder="1" applyAlignment="1">
      <alignment vertical="top"/>
    </xf>
    <xf numFmtId="0" fontId="33" fillId="9" borderId="1" xfId="2" applyFont="1" applyFill="1" applyAlignment="1">
      <alignment vertical="top"/>
    </xf>
    <xf numFmtId="167" fontId="33" fillId="9" borderId="1" xfId="3" applyNumberFormat="1" applyFont="1" applyFill="1" applyAlignment="1">
      <alignment vertical="top"/>
    </xf>
    <xf numFmtId="166" fontId="26" fillId="9" borderId="1" xfId="3" applyNumberFormat="1" applyFont="1" applyFill="1" applyBorder="1" applyAlignment="1">
      <alignment horizontal="center" vertical="top"/>
    </xf>
    <xf numFmtId="168" fontId="25" fillId="9" borderId="1" xfId="4" applyNumberFormat="1" applyFont="1" applyFill="1" applyBorder="1" applyAlignment="1">
      <alignment vertical="top"/>
    </xf>
    <xf numFmtId="169" fontId="25" fillId="9" borderId="1" xfId="4" applyNumberFormat="1" applyFont="1" applyFill="1" applyAlignment="1">
      <alignment vertical="top"/>
    </xf>
    <xf numFmtId="0" fontId="36" fillId="0" borderId="1" xfId="2" applyFont="1" applyAlignment="1">
      <alignment horizontal="left" vertical="top"/>
    </xf>
    <xf numFmtId="0" fontId="9" fillId="0" borderId="12" xfId="6" applyFont="1" applyBorder="1" applyAlignment="1">
      <alignment horizontal="left"/>
    </xf>
    <xf numFmtId="171" fontId="8" fillId="0" borderId="14" xfId="6" applyNumberFormat="1" applyFont="1" applyBorder="1" applyAlignment="1">
      <alignment horizontal="left"/>
    </xf>
    <xf numFmtId="0" fontId="9" fillId="0" borderId="1" xfId="7" applyFont="1" applyAlignment="1">
      <alignment horizontal="right"/>
    </xf>
    <xf numFmtId="0" fontId="13" fillId="13" borderId="8" xfId="7" applyFont="1" applyFill="1" applyBorder="1"/>
    <xf numFmtId="0" fontId="13" fillId="13" borderId="8" xfId="8" applyFont="1" applyFill="1" applyBorder="1" applyAlignment="1">
      <alignment horizontal="centerContinuous"/>
    </xf>
    <xf numFmtId="167" fontId="15" fillId="7" borderId="15" xfId="10" applyNumberFormat="1" applyFont="1" applyFill="1" applyBorder="1"/>
    <xf numFmtId="167" fontId="12" fillId="0" borderId="15" xfId="10" applyNumberFormat="1" applyFont="1" applyFill="1" applyBorder="1"/>
    <xf numFmtId="0" fontId="9" fillId="0" borderId="1" xfId="7" applyFont="1" applyAlignment="1">
      <alignment horizontal="left" indent="1"/>
    </xf>
    <xf numFmtId="0" fontId="9" fillId="0" borderId="4" xfId="7" applyFont="1" applyBorder="1"/>
    <xf numFmtId="0" fontId="9" fillId="0" borderId="11" xfId="7" applyFont="1" applyBorder="1"/>
    <xf numFmtId="0" fontId="9" fillId="0" borderId="15" xfId="7" applyFont="1" applyBorder="1"/>
    <xf numFmtId="14" fontId="37" fillId="0" borderId="1" xfId="8" applyNumberFormat="1" applyFont="1" applyAlignment="1">
      <alignment horizontal="center"/>
    </xf>
    <xf numFmtId="14" fontId="37" fillId="0" borderId="9" xfId="8" applyNumberFormat="1" applyFont="1" applyBorder="1" applyAlignment="1">
      <alignment horizontal="center"/>
    </xf>
    <xf numFmtId="0" fontId="14" fillId="0" borderId="15" xfId="6" applyFont="1" applyBorder="1" applyAlignment="1">
      <alignment horizontal="left"/>
    </xf>
    <xf numFmtId="0" fontId="9" fillId="0" borderId="12" xfId="7" applyFont="1" applyBorder="1"/>
    <xf numFmtId="167" fontId="12" fillId="0" borderId="14" xfId="7" applyNumberFormat="1" applyFont="1" applyBorder="1"/>
    <xf numFmtId="3" fontId="8" fillId="0" borderId="15" xfId="7" applyNumberFormat="1" applyFont="1" applyBorder="1"/>
    <xf numFmtId="3" fontId="8" fillId="7" borderId="15" xfId="7" applyNumberFormat="1" applyFont="1" applyFill="1" applyBorder="1"/>
    <xf numFmtId="3" fontId="8" fillId="7" borderId="14" xfId="7" applyNumberFormat="1" applyFont="1" applyFill="1" applyBorder="1"/>
    <xf numFmtId="0" fontId="10" fillId="0" borderId="15" xfId="6" applyFont="1" applyBorder="1" applyAlignment="1">
      <alignment horizontal="center"/>
    </xf>
    <xf numFmtId="172" fontId="8" fillId="4" borderId="15" xfId="9" applyNumberFormat="1" applyFont="1" applyFill="1" applyBorder="1"/>
    <xf numFmtId="167" fontId="8" fillId="0" borderId="15" xfId="10" applyNumberFormat="1" applyFont="1" applyBorder="1"/>
    <xf numFmtId="168" fontId="8" fillId="0" borderId="15" xfId="6" applyNumberFormat="1" applyFont="1" applyBorder="1" applyAlignment="1">
      <alignment horizontal="right"/>
    </xf>
    <xf numFmtId="168" fontId="8" fillId="0" borderId="15" xfId="9" applyNumberFormat="1" applyFont="1" applyBorder="1" applyAlignment="1">
      <alignment horizontal="right"/>
    </xf>
    <xf numFmtId="168" fontId="8" fillId="4" borderId="15" xfId="9" applyNumberFormat="1" applyFont="1" applyFill="1" applyBorder="1"/>
    <xf numFmtId="0" fontId="8" fillId="0" borderId="15" xfId="6" applyFont="1" applyBorder="1" applyAlignment="1">
      <alignment horizontal="center"/>
    </xf>
    <xf numFmtId="0" fontId="11" fillId="13" borderId="15" xfId="6" applyFont="1" applyFill="1" applyBorder="1" applyAlignment="1">
      <alignment horizontal="center"/>
    </xf>
    <xf numFmtId="167" fontId="9" fillId="0" borderId="1" xfId="10" applyNumberFormat="1" applyFont="1"/>
    <xf numFmtId="168" fontId="9" fillId="0" borderId="1" xfId="6" applyNumberFormat="1" applyFont="1"/>
    <xf numFmtId="168" fontId="9" fillId="0" borderId="1" xfId="9" applyNumberFormat="1" applyFont="1"/>
    <xf numFmtId="0" fontId="9" fillId="3" borderId="1" xfId="6" applyFont="1" applyFill="1"/>
    <xf numFmtId="0" fontId="12" fillId="9" borderId="1" xfId="6" applyFont="1" applyFill="1"/>
    <xf numFmtId="20" fontId="22" fillId="0" borderId="1" xfId="6" quotePrefix="1" applyNumberFormat="1" applyFont="1" applyAlignment="1">
      <alignment horizontal="right"/>
    </xf>
    <xf numFmtId="0" fontId="12" fillId="0" borderId="1" xfId="6" applyFont="1"/>
    <xf numFmtId="166" fontId="8" fillId="0" borderId="15" xfId="10" applyNumberFormat="1" applyFont="1" applyBorder="1"/>
    <xf numFmtId="168" fontId="8" fillId="0" borderId="15" xfId="6" applyNumberFormat="1" applyFont="1" applyBorder="1"/>
    <xf numFmtId="0" fontId="12" fillId="0" borderId="1" xfId="7" applyFont="1"/>
    <xf numFmtId="14" fontId="11" fillId="13" borderId="15" xfId="6" applyNumberFormat="1" applyFont="1" applyFill="1" applyBorder="1" applyAlignment="1">
      <alignment horizontal="center"/>
    </xf>
    <xf numFmtId="174" fontId="8" fillId="4" borderId="15" xfId="9" applyNumberFormat="1" applyFont="1" applyFill="1" applyBorder="1"/>
    <xf numFmtId="166" fontId="8" fillId="10" borderId="15" xfId="10" applyNumberFormat="1" applyFont="1" applyFill="1" applyBorder="1"/>
    <xf numFmtId="168" fontId="8" fillId="0" borderId="15" xfId="9" applyNumberFormat="1" applyFont="1" applyBorder="1"/>
    <xf numFmtId="0" fontId="38" fillId="0" borderId="1" xfId="6" applyFont="1"/>
    <xf numFmtId="166" fontId="8" fillId="4" borderId="15" xfId="6" applyNumberFormat="1" applyFont="1" applyFill="1" applyBorder="1"/>
    <xf numFmtId="167" fontId="8" fillId="0" borderId="1" xfId="6" applyNumberFormat="1" applyFont="1" applyAlignment="1">
      <alignment horizontal="left" vertical="top"/>
    </xf>
    <xf numFmtId="0" fontId="8" fillId="0" borderId="15" xfId="6" applyFont="1" applyBorder="1" applyAlignment="1">
      <alignment horizontal="left" vertical="top"/>
    </xf>
    <xf numFmtId="169" fontId="8" fillId="0" borderId="15" xfId="6" applyNumberFormat="1" applyFont="1" applyBorder="1" applyAlignment="1">
      <alignment horizontal="left" vertical="top"/>
    </xf>
    <xf numFmtId="173" fontId="8" fillId="0" borderId="15" xfId="6" applyNumberFormat="1" applyFont="1" applyBorder="1" applyAlignment="1">
      <alignment horizontal="left" vertical="top"/>
    </xf>
    <xf numFmtId="167" fontId="8" fillId="0" borderId="15" xfId="6" applyNumberFormat="1" applyFont="1" applyBorder="1" applyAlignment="1">
      <alignment horizontal="left" vertical="top"/>
    </xf>
    <xf numFmtId="0" fontId="12" fillId="0" borderId="1" xfId="6" applyFont="1" applyAlignment="1">
      <alignment horizontal="left" vertical="top"/>
    </xf>
    <xf numFmtId="0" fontId="1" fillId="0" borderId="1" xfId="6" applyAlignment="1">
      <alignment horizontal="left" vertical="top"/>
    </xf>
    <xf numFmtId="0" fontId="4" fillId="0" borderId="3" xfId="6" applyFont="1" applyBorder="1" applyAlignment="1">
      <alignment horizontal="left" vertical="top"/>
    </xf>
    <xf numFmtId="9" fontId="0" fillId="0" borderId="1" xfId="10" applyFont="1" applyAlignment="1">
      <alignment horizontal="left" vertical="top"/>
    </xf>
    <xf numFmtId="0" fontId="1" fillId="8" borderId="1" xfId="6" applyFill="1" applyAlignment="1">
      <alignment horizontal="left" vertical="top"/>
    </xf>
    <xf numFmtId="0" fontId="4" fillId="16" borderId="1" xfId="6" applyFont="1" applyFill="1" applyAlignment="1">
      <alignment horizontal="left" vertical="top"/>
    </xf>
    <xf numFmtId="0" fontId="4" fillId="16" borderId="1" xfId="6" applyFont="1" applyFill="1" applyAlignment="1">
      <alignment horizontal="left"/>
    </xf>
    <xf numFmtId="9" fontId="4" fillId="16" borderId="1" xfId="10" applyFont="1" applyFill="1" applyAlignment="1">
      <alignment horizontal="left" vertical="top"/>
    </xf>
    <xf numFmtId="0" fontId="4" fillId="0" borderId="1" xfId="6" applyFont="1" applyAlignment="1">
      <alignment horizontal="left" vertical="top"/>
    </xf>
    <xf numFmtId="0" fontId="3" fillId="13" borderId="15" xfId="6" applyFont="1" applyFill="1" applyBorder="1" applyAlignment="1">
      <alignment horizontal="left" vertical="top"/>
    </xf>
    <xf numFmtId="0" fontId="3" fillId="13" borderId="15" xfId="6" applyFont="1" applyFill="1" applyBorder="1" applyAlignment="1">
      <alignment horizontal="left"/>
    </xf>
    <xf numFmtId="9" fontId="3" fillId="13" borderId="15" xfId="10" applyFont="1" applyFill="1" applyBorder="1" applyAlignment="1">
      <alignment horizontal="left" vertical="top"/>
    </xf>
    <xf numFmtId="0" fontId="1" fillId="0" borderId="15" xfId="6" applyBorder="1" applyAlignment="1">
      <alignment horizontal="left" vertical="top"/>
    </xf>
    <xf numFmtId="43" fontId="0" fillId="0" borderId="15" xfId="9" applyFont="1" applyBorder="1" applyAlignment="1">
      <alignment horizontal="left"/>
    </xf>
    <xf numFmtId="2" fontId="0" fillId="0" borderId="15" xfId="10" applyNumberFormat="1" applyFont="1" applyBorder="1" applyAlignment="1">
      <alignment horizontal="left" vertical="top"/>
    </xf>
    <xf numFmtId="167" fontId="1" fillId="22" borderId="1" xfId="6" applyNumberFormat="1" applyFill="1"/>
    <xf numFmtId="3" fontId="1" fillId="0" borderId="1" xfId="6" applyNumberFormat="1"/>
    <xf numFmtId="167" fontId="1" fillId="23" borderId="1" xfId="6" applyNumberFormat="1" applyFill="1"/>
    <xf numFmtId="0" fontId="4" fillId="0" borderId="7" xfId="6" applyFont="1" applyBorder="1"/>
    <xf numFmtId="0" fontId="9" fillId="0" borderId="27" xfId="7" applyFont="1" applyBorder="1" applyAlignment="1">
      <alignment horizontal="left"/>
    </xf>
    <xf numFmtId="0" fontId="9" fillId="0" borderId="28" xfId="7" applyFont="1" applyBorder="1" applyAlignment="1">
      <alignment horizontal="left"/>
    </xf>
    <xf numFmtId="0" fontId="26" fillId="0" borderId="1" xfId="2" applyFont="1" applyAlignment="1">
      <alignment horizontal="right" vertical="top" textRotation="90" wrapText="1"/>
    </xf>
    <xf numFmtId="0" fontId="28" fillId="0" borderId="1" xfId="2" applyFont="1" applyAlignment="1">
      <alignment horizontal="left" vertical="center" wrapText="1"/>
    </xf>
    <xf numFmtId="0" fontId="11" fillId="13" borderId="1" xfId="6" applyFont="1" applyFill="1" applyAlignment="1">
      <alignment horizontal="center"/>
    </xf>
    <xf numFmtId="0" fontId="12" fillId="0" borderId="1" xfId="6" applyFont="1" applyAlignment="1">
      <alignment horizontal="left" wrapText="1"/>
    </xf>
    <xf numFmtId="0" fontId="28" fillId="0" borderId="26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25" fillId="0" borderId="0" xfId="0" applyFont="1" applyAlignment="1">
      <alignment horizontal="left" vertical="top"/>
    </xf>
    <xf numFmtId="0" fontId="13" fillId="13" borderId="17" xfId="2" applyFont="1" applyFill="1" applyBorder="1" applyAlignment="1">
      <alignment horizontal="center" vertical="top"/>
    </xf>
    <xf numFmtId="0" fontId="13" fillId="13" borderId="18" xfId="2" applyFont="1" applyFill="1" applyBorder="1" applyAlignment="1">
      <alignment horizontal="center" vertical="top"/>
    </xf>
    <xf numFmtId="0" fontId="13" fillId="13" borderId="19" xfId="2" applyFont="1" applyFill="1" applyBorder="1" applyAlignment="1">
      <alignment horizontal="center" vertical="top"/>
    </xf>
    <xf numFmtId="0" fontId="27" fillId="0" borderId="16" xfId="0" applyFont="1" applyBorder="1" applyAlignment="1">
      <alignment horizontal="left" vertical="top" wrapText="1"/>
    </xf>
    <xf numFmtId="0" fontId="27" fillId="0" borderId="15" xfId="0" applyFont="1" applyBorder="1" applyAlignment="1">
      <alignment horizontal="left" vertical="top"/>
    </xf>
    <xf numFmtId="165" fontId="28" fillId="0" borderId="0" xfId="0" applyNumberFormat="1" applyFont="1" applyAlignment="1">
      <alignment horizontal="left" vertical="top" wrapText="1"/>
    </xf>
  </cellXfs>
  <cellStyles count="11">
    <cellStyle name="Comma 2 2" xfId="9" xr:uid="{A903B84D-D02A-489D-96FE-5F9FA2C06DF9}"/>
    <cellStyle name="Comma 5" xfId="4" xr:uid="{4FD27490-C36D-4C49-A590-25817CF3483F}"/>
    <cellStyle name="Heading 1" xfId="1" builtinId="16"/>
    <cellStyle name="Heading 1 2 2" xfId="5" xr:uid="{EA161F35-4B38-45AE-9823-4A1609036EB9}"/>
    <cellStyle name="Normal" xfId="0" builtinId="0"/>
    <cellStyle name="Normal 2 3" xfId="6" xr:uid="{A264D403-4CA1-41EB-801D-4CFD30943B0D}"/>
    <cellStyle name="Normal 5 2" xfId="8" xr:uid="{924EE544-5C57-483C-888D-1EB5CA11BD23}"/>
    <cellStyle name="Normal 6" xfId="7" xr:uid="{F93FB697-ED6C-4AB2-852C-BA575C9AEC10}"/>
    <cellStyle name="Normal 7" xfId="2" xr:uid="{D6DF21B2-9877-45EF-AD63-148AC484EEA5}"/>
    <cellStyle name="Percent 2" xfId="10" xr:uid="{1E9FCBA0-FBC2-47C6-89BD-FAE2A816927C}"/>
    <cellStyle name="Percent 3" xfId="3" xr:uid="{D5AC9D61-5262-4507-ACDD-9ED572C7EF80}"/>
  </cellStyles>
  <dxfs count="1">
    <dxf>
      <fill>
        <patternFill>
          <bgColor theme="9" tint="0.79998168889431442"/>
        </patternFill>
      </fill>
    </dxf>
  </dxfs>
  <tableStyles count="0" defaultTableStyle="TableStyleMedium2" defaultPivotStyle="PivotStyleLight16"/>
  <colors>
    <mruColors>
      <color rgb="FFF9FDDB"/>
      <color rgb="FFECF4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14286</xdr:rowOff>
    </xdr:from>
    <xdr:to>
      <xdr:col>5</xdr:col>
      <xdr:colOff>366712</xdr:colOff>
      <xdr:row>36</xdr:row>
      <xdr:rowOff>115497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71C1B7-7872-4430-A9CA-1F8FD67A2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87486"/>
          <a:ext cx="5126037" cy="5257411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123826</xdr:colOff>
      <xdr:row>0</xdr:row>
      <xdr:rowOff>109538</xdr:rowOff>
    </xdr:from>
    <xdr:to>
      <xdr:col>10</xdr:col>
      <xdr:colOff>95420</xdr:colOff>
      <xdr:row>7</xdr:row>
      <xdr:rowOff>28576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6CA8EE-BD08-4BDA-A0C4-BA320C970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83276" y="109538"/>
          <a:ext cx="2511594" cy="1208088"/>
        </a:xfrm>
        <a:prstGeom prst="rect">
          <a:avLst/>
        </a:prstGeom>
      </xdr:spPr>
    </xdr:pic>
    <xdr:clientData/>
  </xdr:twoCellAnchor>
  <xdr:twoCellAnchor editAs="oneCell">
    <xdr:from>
      <xdr:col>6</xdr:col>
      <xdr:colOff>125139</xdr:colOff>
      <xdr:row>7</xdr:row>
      <xdr:rowOff>128588</xdr:rowOff>
    </xdr:from>
    <xdr:to>
      <xdr:col>21</xdr:col>
      <xdr:colOff>16785</xdr:colOff>
      <xdr:row>52</xdr:row>
      <xdr:rowOff>107623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0A2B18-32AB-42CE-A4CD-932FCCFB0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84589" y="1417638"/>
          <a:ext cx="9416646" cy="8265785"/>
        </a:xfrm>
        <a:prstGeom prst="rect">
          <a:avLst/>
        </a:prstGeom>
      </xdr:spPr>
    </xdr:pic>
    <xdr:clientData/>
  </xdr:twoCellAnchor>
  <xdr:twoCellAnchor>
    <xdr:from>
      <xdr:col>3</xdr:col>
      <xdr:colOff>581025</xdr:colOff>
      <xdr:row>32</xdr:row>
      <xdr:rowOff>57150</xdr:rowOff>
    </xdr:from>
    <xdr:to>
      <xdr:col>6</xdr:col>
      <xdr:colOff>461963</xdr:colOff>
      <xdr:row>46</xdr:row>
      <xdr:rowOff>42863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DB3CC6A9-4200-48CF-8EF6-B634DC0B9D0F}"/>
            </a:ext>
          </a:extLst>
        </xdr:cNvPr>
        <xdr:cNvCxnSpPr/>
      </xdr:nvCxnSpPr>
      <xdr:spPr>
        <a:xfrm flipH="1" flipV="1">
          <a:off x="3838575" y="5949950"/>
          <a:ext cx="2382838" cy="2563813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428624</xdr:colOff>
      <xdr:row>45</xdr:row>
      <xdr:rowOff>95250</xdr:rowOff>
    </xdr:from>
    <xdr:to>
      <xdr:col>9</xdr:col>
      <xdr:colOff>461961</xdr:colOff>
      <xdr:row>46</xdr:row>
      <xdr:rowOff>176213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BAA22E0-287A-4C56-9B96-D0AA00A7737D}"/>
            </a:ext>
          </a:extLst>
        </xdr:cNvPr>
        <xdr:cNvSpPr/>
      </xdr:nvSpPr>
      <xdr:spPr>
        <a:xfrm>
          <a:off x="6188074" y="8382000"/>
          <a:ext cx="1938337" cy="265113"/>
        </a:xfrm>
        <a:prstGeom prst="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4763</xdr:colOff>
      <xdr:row>0</xdr:row>
      <xdr:rowOff>9525</xdr:rowOff>
    </xdr:from>
    <xdr:to>
      <xdr:col>2</xdr:col>
      <xdr:colOff>471488</xdr:colOff>
      <xdr:row>2</xdr:row>
      <xdr:rowOff>161926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C6B5718-425C-4446-A284-1607A4EE3B1E}"/>
            </a:ext>
          </a:extLst>
        </xdr:cNvPr>
        <xdr:cNvSpPr/>
      </xdr:nvSpPr>
      <xdr:spPr>
        <a:xfrm>
          <a:off x="4763" y="9525"/>
          <a:ext cx="2651125" cy="520701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457201</xdr:colOff>
      <xdr:row>1</xdr:row>
      <xdr:rowOff>123827</xdr:rowOff>
    </xdr:from>
    <xdr:to>
      <xdr:col>6</xdr:col>
      <xdr:colOff>457200</xdr:colOff>
      <xdr:row>12</xdr:row>
      <xdr:rowOff>138113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E73D8645-5C19-47F5-A327-895A86EA0686}"/>
            </a:ext>
          </a:extLst>
        </xdr:cNvPr>
        <xdr:cNvCxnSpPr/>
      </xdr:nvCxnSpPr>
      <xdr:spPr>
        <a:xfrm flipH="1" flipV="1">
          <a:off x="2641601" y="307977"/>
          <a:ext cx="3575049" cy="2039936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404812</xdr:colOff>
      <xdr:row>28</xdr:row>
      <xdr:rowOff>14287</xdr:rowOff>
    </xdr:from>
    <xdr:to>
      <xdr:col>10</xdr:col>
      <xdr:colOff>109537</xdr:colOff>
      <xdr:row>29</xdr:row>
      <xdr:rowOff>19049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307D90F-7BBC-4CE6-B1A1-E70D3F74E0BA}"/>
            </a:ext>
          </a:extLst>
        </xdr:cNvPr>
        <xdr:cNvSpPr/>
      </xdr:nvSpPr>
      <xdr:spPr>
        <a:xfrm>
          <a:off x="6164262" y="5170487"/>
          <a:ext cx="2244725" cy="18891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423861</xdr:colOff>
      <xdr:row>25</xdr:row>
      <xdr:rowOff>157163</xdr:rowOff>
    </xdr:from>
    <xdr:to>
      <xdr:col>7</xdr:col>
      <xdr:colOff>138112</xdr:colOff>
      <xdr:row>28</xdr:row>
      <xdr:rowOff>42864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14BC49C-22D0-48BA-8BF1-761ACF2D429D}"/>
            </a:ext>
          </a:extLst>
        </xdr:cNvPr>
        <xdr:cNvCxnSpPr/>
      </xdr:nvCxnSpPr>
      <xdr:spPr>
        <a:xfrm flipV="1">
          <a:off x="6183311" y="4760913"/>
          <a:ext cx="349251" cy="4381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3</xdr:row>
      <xdr:rowOff>4763</xdr:rowOff>
    </xdr:from>
    <xdr:to>
      <xdr:col>2</xdr:col>
      <xdr:colOff>466725</xdr:colOff>
      <xdr:row>4</xdr:row>
      <xdr:rowOff>28575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4CB498E-E27F-4966-AD3F-62C5A924EA85}"/>
            </a:ext>
          </a:extLst>
        </xdr:cNvPr>
        <xdr:cNvSpPr/>
      </xdr:nvSpPr>
      <xdr:spPr>
        <a:xfrm>
          <a:off x="0" y="557213"/>
          <a:ext cx="2651125" cy="207962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00B050"/>
            </a:solidFill>
          </a:endParaRPr>
        </a:p>
      </xdr:txBody>
    </xdr:sp>
    <xdr:clientData/>
  </xdr:twoCellAnchor>
  <xdr:twoCellAnchor>
    <xdr:from>
      <xdr:col>6</xdr:col>
      <xdr:colOff>495301</xdr:colOff>
      <xdr:row>10</xdr:row>
      <xdr:rowOff>80964</xdr:rowOff>
    </xdr:from>
    <xdr:to>
      <xdr:col>12</xdr:col>
      <xdr:colOff>242889</xdr:colOff>
      <xdr:row>14</xdr:row>
      <xdr:rowOff>157164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AFA7766-A4DC-499F-897C-D17C20AC4D0A}"/>
            </a:ext>
          </a:extLst>
        </xdr:cNvPr>
        <xdr:cNvSpPr/>
      </xdr:nvSpPr>
      <xdr:spPr>
        <a:xfrm>
          <a:off x="6254751" y="1922464"/>
          <a:ext cx="3557588" cy="8128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376238</xdr:colOff>
      <xdr:row>17</xdr:row>
      <xdr:rowOff>100013</xdr:rowOff>
    </xdr:from>
    <xdr:to>
      <xdr:col>0</xdr:col>
      <xdr:colOff>1023938</xdr:colOff>
      <xdr:row>23</xdr:row>
      <xdr:rowOff>142875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DFED5F38-F483-4A0B-ABA5-00C4CA2F62F0}"/>
            </a:ext>
          </a:extLst>
        </xdr:cNvPr>
        <xdr:cNvSpPr/>
      </xdr:nvSpPr>
      <xdr:spPr>
        <a:xfrm>
          <a:off x="376238" y="3230563"/>
          <a:ext cx="647700" cy="1147762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80962</xdr:colOff>
      <xdr:row>18</xdr:row>
      <xdr:rowOff>1</xdr:rowOff>
    </xdr:from>
    <xdr:to>
      <xdr:col>11</xdr:col>
      <xdr:colOff>19050</xdr:colOff>
      <xdr:row>19</xdr:row>
      <xdr:rowOff>14288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6ACBD89-A72B-4C1A-AF55-16204FD8A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0412" y="3314701"/>
          <a:ext cx="3113088" cy="198437"/>
        </a:xfrm>
        <a:prstGeom prst="rect">
          <a:avLst/>
        </a:prstGeom>
      </xdr:spPr>
    </xdr:pic>
    <xdr:clientData/>
  </xdr:twoCellAnchor>
  <xdr:twoCellAnchor editAs="oneCell">
    <xdr:from>
      <xdr:col>6</xdr:col>
      <xdr:colOff>170008</xdr:colOff>
      <xdr:row>53</xdr:row>
      <xdr:rowOff>92525</xdr:rowOff>
    </xdr:from>
    <xdr:to>
      <xdr:col>21</xdr:col>
      <xdr:colOff>52388</xdr:colOff>
      <xdr:row>80</xdr:row>
      <xdr:rowOff>137023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FCA5DF6-9699-459E-B64D-0B57213DA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29458" y="9852475"/>
          <a:ext cx="9407380" cy="5016548"/>
        </a:xfrm>
        <a:prstGeom prst="rect">
          <a:avLst/>
        </a:prstGeom>
      </xdr:spPr>
    </xdr:pic>
    <xdr:clientData/>
  </xdr:twoCellAnchor>
  <xdr:twoCellAnchor>
    <xdr:from>
      <xdr:col>6</xdr:col>
      <xdr:colOff>438149</xdr:colOff>
      <xdr:row>74</xdr:row>
      <xdr:rowOff>0</xdr:rowOff>
    </xdr:from>
    <xdr:to>
      <xdr:col>13</xdr:col>
      <xdr:colOff>214312</xdr:colOff>
      <xdr:row>79</xdr:row>
      <xdr:rowOff>61912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26E1CB1-BB71-4917-A6B4-2AB41CDB5BB1}"/>
            </a:ext>
          </a:extLst>
        </xdr:cNvPr>
        <xdr:cNvSpPr/>
      </xdr:nvSpPr>
      <xdr:spPr>
        <a:xfrm>
          <a:off x="6197599" y="13627100"/>
          <a:ext cx="4221163" cy="982662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1004888</xdr:colOff>
      <xdr:row>4</xdr:row>
      <xdr:rowOff>38100</xdr:rowOff>
    </xdr:from>
    <xdr:to>
      <xdr:col>6</xdr:col>
      <xdr:colOff>400052</xdr:colOff>
      <xdr:row>76</xdr:row>
      <xdr:rowOff>19052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E46EC2A3-DDCA-4A7D-AF31-57FF1CC89677}"/>
            </a:ext>
          </a:extLst>
        </xdr:cNvPr>
        <xdr:cNvCxnSpPr/>
      </xdr:nvCxnSpPr>
      <xdr:spPr>
        <a:xfrm flipH="1" flipV="1">
          <a:off x="1004888" y="774700"/>
          <a:ext cx="5154614" cy="132397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16</xdr:row>
      <xdr:rowOff>87349</xdr:rowOff>
    </xdr:from>
    <xdr:ext cx="6129952" cy="2861963"/>
    <xdr:pic>
      <xdr:nvPicPr>
        <xdr:cNvPr id="2" name="Picture 1">
          <a:extLst>
            <a:ext uri="{FF2B5EF4-FFF2-40B4-BE49-F238E27FC236}">
              <a16:creationId xmlns:a16="http://schemas.microsoft.com/office/drawing/2014/main" id="{A49CED44-C289-4852-8A80-E2F75E923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33749"/>
          <a:ext cx="6129952" cy="2861963"/>
        </a:xfrm>
        <a:prstGeom prst="rect">
          <a:avLst/>
        </a:prstGeom>
      </xdr:spPr>
    </xdr:pic>
    <xdr:clientData/>
  </xdr:oneCellAnchor>
  <xdr:oneCellAnchor>
    <xdr:from>
      <xdr:col>11</xdr:col>
      <xdr:colOff>35575</xdr:colOff>
      <xdr:row>0</xdr:row>
      <xdr:rowOff>28015</xdr:rowOff>
    </xdr:from>
    <xdr:ext cx="8490233" cy="13873502"/>
    <xdr:pic>
      <xdr:nvPicPr>
        <xdr:cNvPr id="3" name="Picture 2">
          <a:extLst>
            <a:ext uri="{FF2B5EF4-FFF2-40B4-BE49-F238E27FC236}">
              <a16:creationId xmlns:a16="http://schemas.microsoft.com/office/drawing/2014/main" id="{6F2C2C6A-0002-4451-8FDF-FF85EB335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1175" y="28015"/>
          <a:ext cx="8490233" cy="13873502"/>
        </a:xfrm>
        <a:prstGeom prst="rect">
          <a:avLst/>
        </a:prstGeom>
      </xdr:spPr>
    </xdr:pic>
    <xdr:clientData/>
  </xdr:oneCellAnchor>
  <xdr:oneCellAnchor>
    <xdr:from>
      <xdr:col>11</xdr:col>
      <xdr:colOff>88664</xdr:colOff>
      <xdr:row>76</xdr:row>
      <xdr:rowOff>44824</xdr:rowOff>
    </xdr:from>
    <xdr:ext cx="9410664" cy="12197232"/>
    <xdr:pic>
      <xdr:nvPicPr>
        <xdr:cNvPr id="4" name="Picture 3">
          <a:extLst>
            <a:ext uri="{FF2B5EF4-FFF2-40B4-BE49-F238E27FC236}">
              <a16:creationId xmlns:a16="http://schemas.microsoft.com/office/drawing/2014/main" id="{FEB6BE41-A310-4B08-ACA7-8DDDB90C1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94264" y="14040224"/>
          <a:ext cx="9410664" cy="12197232"/>
        </a:xfrm>
        <a:prstGeom prst="rect">
          <a:avLst/>
        </a:prstGeom>
      </xdr:spPr>
    </xdr:pic>
    <xdr:clientData/>
  </xdr:oneCellAnchor>
  <xdr:oneCellAnchor>
    <xdr:from>
      <xdr:col>0</xdr:col>
      <xdr:colOff>78441</xdr:colOff>
      <xdr:row>33</xdr:row>
      <xdr:rowOff>84043</xdr:rowOff>
    </xdr:from>
    <xdr:ext cx="6337988" cy="2958886"/>
    <xdr:pic>
      <xdr:nvPicPr>
        <xdr:cNvPr id="5" name="Picture 4">
          <a:extLst>
            <a:ext uri="{FF2B5EF4-FFF2-40B4-BE49-F238E27FC236}">
              <a16:creationId xmlns:a16="http://schemas.microsoft.com/office/drawing/2014/main" id="{26D39F27-D73A-4DE3-B64D-A2ADBFE4C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" y="6160993"/>
          <a:ext cx="6337988" cy="2958886"/>
        </a:xfrm>
        <a:prstGeom prst="rect">
          <a:avLst/>
        </a:prstGeom>
      </xdr:spPr>
    </xdr:pic>
    <xdr:clientData/>
  </xdr:oneCellAnchor>
  <xdr:oneCellAnchor>
    <xdr:from>
      <xdr:col>19</xdr:col>
      <xdr:colOff>487414</xdr:colOff>
      <xdr:row>41</xdr:row>
      <xdr:rowOff>121265</xdr:rowOff>
    </xdr:from>
    <xdr:ext cx="5507333" cy="1388338"/>
    <xdr:pic>
      <xdr:nvPicPr>
        <xdr:cNvPr id="6" name="Picture 5">
          <a:extLst>
            <a:ext uri="{FF2B5EF4-FFF2-40B4-BE49-F238E27FC236}">
              <a16:creationId xmlns:a16="http://schemas.microsoft.com/office/drawing/2014/main" id="{E687CAC4-55F2-4614-9DCF-490140D42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69814" y="7671415"/>
          <a:ext cx="5507333" cy="1388338"/>
        </a:xfrm>
        <a:prstGeom prst="rect">
          <a:avLst/>
        </a:prstGeom>
      </xdr:spPr>
    </xdr:pic>
    <xdr:clientData/>
  </xdr:oneCellAnchor>
  <xdr:oneCellAnchor>
    <xdr:from>
      <xdr:col>28</xdr:col>
      <xdr:colOff>403412</xdr:colOff>
      <xdr:row>45</xdr:row>
      <xdr:rowOff>11209</xdr:rowOff>
    </xdr:from>
    <xdr:ext cx="4685507" cy="1472713"/>
    <xdr:pic>
      <xdr:nvPicPr>
        <xdr:cNvPr id="7" name="Picture 6">
          <a:extLst>
            <a:ext uri="{FF2B5EF4-FFF2-40B4-BE49-F238E27FC236}">
              <a16:creationId xmlns:a16="http://schemas.microsoft.com/office/drawing/2014/main" id="{FF08D53F-0F22-494F-B4C0-F4A9D1F43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472212" y="8297959"/>
          <a:ext cx="4685507" cy="1472713"/>
        </a:xfrm>
        <a:prstGeom prst="rect">
          <a:avLst/>
        </a:prstGeom>
      </xdr:spPr>
    </xdr:pic>
    <xdr:clientData/>
  </xdr:oneCellAnchor>
  <xdr:oneCellAnchor>
    <xdr:from>
      <xdr:col>25</xdr:col>
      <xdr:colOff>60713</xdr:colOff>
      <xdr:row>55</xdr:row>
      <xdr:rowOff>16808</xdr:rowOff>
    </xdr:from>
    <xdr:ext cx="6757216" cy="3282523"/>
    <xdr:pic>
      <xdr:nvPicPr>
        <xdr:cNvPr id="8" name="Picture 7">
          <a:extLst>
            <a:ext uri="{FF2B5EF4-FFF2-40B4-BE49-F238E27FC236}">
              <a16:creationId xmlns:a16="http://schemas.microsoft.com/office/drawing/2014/main" id="{C872F0BF-9714-4AE7-A35D-E36106AD0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00713" y="10145058"/>
          <a:ext cx="6757216" cy="3282523"/>
        </a:xfrm>
        <a:prstGeom prst="rect">
          <a:avLst/>
        </a:prstGeom>
      </xdr:spPr>
    </xdr:pic>
    <xdr:clientData/>
  </xdr:oneCellAnchor>
  <xdr:oneCellAnchor>
    <xdr:from>
      <xdr:col>25</xdr:col>
      <xdr:colOff>616323</xdr:colOff>
      <xdr:row>74</xdr:row>
      <xdr:rowOff>11335</xdr:rowOff>
    </xdr:from>
    <xdr:ext cx="5808139" cy="4948791"/>
    <xdr:pic>
      <xdr:nvPicPr>
        <xdr:cNvPr id="9" name="Picture 8">
          <a:extLst>
            <a:ext uri="{FF2B5EF4-FFF2-40B4-BE49-F238E27FC236}">
              <a16:creationId xmlns:a16="http://schemas.microsoft.com/office/drawing/2014/main" id="{22AC0225-E3E1-4036-9E2C-C6CA9F8EA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49973" y="13638435"/>
          <a:ext cx="5808139" cy="4948791"/>
        </a:xfrm>
        <a:prstGeom prst="rect">
          <a:avLst/>
        </a:prstGeom>
      </xdr:spPr>
    </xdr:pic>
    <xdr:clientData/>
  </xdr:oneCellAnchor>
  <xdr:twoCellAnchor>
    <xdr:from>
      <xdr:col>25</xdr:col>
      <xdr:colOff>33618</xdr:colOff>
      <xdr:row>97</xdr:row>
      <xdr:rowOff>28015</xdr:rowOff>
    </xdr:from>
    <xdr:to>
      <xdr:col>26</xdr:col>
      <xdr:colOff>190500</xdr:colOff>
      <xdr:row>98</xdr:row>
      <xdr:rowOff>44823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593F397E-149A-4FE1-85CD-709E45D003EE}"/>
            </a:ext>
          </a:extLst>
        </xdr:cNvPr>
        <xdr:cNvCxnSpPr/>
      </xdr:nvCxnSpPr>
      <xdr:spPr>
        <a:xfrm flipH="1">
          <a:off x="15273618" y="17890565"/>
          <a:ext cx="766482" cy="2009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582705</xdr:colOff>
      <xdr:row>89</xdr:row>
      <xdr:rowOff>140074</xdr:rowOff>
    </xdr:from>
    <xdr:to>
      <xdr:col>26</xdr:col>
      <xdr:colOff>161503</xdr:colOff>
      <xdr:row>91</xdr:row>
      <xdr:rowOff>84044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E11179F-9946-4B49-B198-15D882C0969B}"/>
            </a:ext>
          </a:extLst>
        </xdr:cNvPr>
        <xdr:cNvCxnSpPr/>
      </xdr:nvCxnSpPr>
      <xdr:spPr>
        <a:xfrm flipH="1" flipV="1">
          <a:off x="10945905" y="16529424"/>
          <a:ext cx="5065198" cy="3122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246529</xdr:colOff>
      <xdr:row>78</xdr:row>
      <xdr:rowOff>140074</xdr:rowOff>
    </xdr:from>
    <xdr:to>
      <xdr:col>26</xdr:col>
      <xdr:colOff>196102</xdr:colOff>
      <xdr:row>84</xdr:row>
      <xdr:rowOff>44824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0EC83FC-91E3-4197-90EC-A50BB80E8B59}"/>
            </a:ext>
          </a:extLst>
        </xdr:cNvPr>
        <xdr:cNvCxnSpPr/>
      </xdr:nvCxnSpPr>
      <xdr:spPr>
        <a:xfrm flipH="1" flipV="1">
          <a:off x="14267329" y="14503774"/>
          <a:ext cx="1778373" cy="100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74</xdr:row>
      <xdr:rowOff>168088</xdr:rowOff>
    </xdr:from>
    <xdr:to>
      <xdr:col>26</xdr:col>
      <xdr:colOff>162485</xdr:colOff>
      <xdr:row>77</xdr:row>
      <xdr:rowOff>16809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9A487AE2-8AAA-4F50-8122-76BC7CB68E4A}"/>
            </a:ext>
          </a:extLst>
        </xdr:cNvPr>
        <xdr:cNvCxnSpPr/>
      </xdr:nvCxnSpPr>
      <xdr:spPr>
        <a:xfrm flipH="1" flipV="1">
          <a:off x="15240000" y="13795188"/>
          <a:ext cx="772085" cy="4011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549088</xdr:colOff>
      <xdr:row>68</xdr:row>
      <xdr:rowOff>156883</xdr:rowOff>
    </xdr:from>
    <xdr:to>
      <xdr:col>25</xdr:col>
      <xdr:colOff>397809</xdr:colOff>
      <xdr:row>69</xdr:row>
      <xdr:rowOff>89647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C623607-5232-494C-8BB2-AE2A03F95E9D}"/>
            </a:ext>
          </a:extLst>
        </xdr:cNvPr>
        <xdr:cNvCxnSpPr/>
      </xdr:nvCxnSpPr>
      <xdr:spPr>
        <a:xfrm flipH="1">
          <a:off x="11521888" y="12679083"/>
          <a:ext cx="4115921" cy="1169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381000</xdr:colOff>
      <xdr:row>63</xdr:row>
      <xdr:rowOff>112060</xdr:rowOff>
    </xdr:from>
    <xdr:to>
      <xdr:col>25</xdr:col>
      <xdr:colOff>347382</xdr:colOff>
      <xdr:row>64</xdr:row>
      <xdr:rowOff>168088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471A578-E163-44BA-9EE2-191AFA3826E3}"/>
            </a:ext>
          </a:extLst>
        </xdr:cNvPr>
        <xdr:cNvCxnSpPr/>
      </xdr:nvCxnSpPr>
      <xdr:spPr>
        <a:xfrm flipH="1">
          <a:off x="11963400" y="11713510"/>
          <a:ext cx="3623982" cy="2401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117662</xdr:colOff>
      <xdr:row>56</xdr:row>
      <xdr:rowOff>16808</xdr:rowOff>
    </xdr:from>
    <xdr:to>
      <xdr:col>25</xdr:col>
      <xdr:colOff>358588</xdr:colOff>
      <xdr:row>58</xdr:row>
      <xdr:rowOff>22412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FB542E50-A280-4BEC-BEB2-C537C1851131}"/>
            </a:ext>
          </a:extLst>
        </xdr:cNvPr>
        <xdr:cNvCxnSpPr/>
      </xdr:nvCxnSpPr>
      <xdr:spPr>
        <a:xfrm flipH="1" flipV="1">
          <a:off x="13528862" y="10329208"/>
          <a:ext cx="2069726" cy="3739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47</xdr:row>
      <xdr:rowOff>78442</xdr:rowOff>
    </xdr:from>
    <xdr:to>
      <xdr:col>28</xdr:col>
      <xdr:colOff>621926</xdr:colOff>
      <xdr:row>49</xdr:row>
      <xdr:rowOff>61632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328852C-7BDB-41C7-949B-D8420BB93DD1}"/>
            </a:ext>
          </a:extLst>
        </xdr:cNvPr>
        <xdr:cNvCxnSpPr/>
      </xdr:nvCxnSpPr>
      <xdr:spPr>
        <a:xfrm flipH="1">
          <a:off x="10363200" y="8733492"/>
          <a:ext cx="7314826" cy="3514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68035</xdr:colOff>
      <xdr:row>44</xdr:row>
      <xdr:rowOff>97651</xdr:rowOff>
    </xdr:from>
    <xdr:to>
      <xdr:col>20</xdr:col>
      <xdr:colOff>47226</xdr:colOff>
      <xdr:row>44</xdr:row>
      <xdr:rowOff>170089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AD3D8E76-8991-489D-A46E-22F9E3F550F6}"/>
            </a:ext>
          </a:extLst>
        </xdr:cNvPr>
        <xdr:cNvCxnSpPr/>
      </xdr:nvCxnSpPr>
      <xdr:spPr>
        <a:xfrm flipH="1">
          <a:off x="9821635" y="8200251"/>
          <a:ext cx="2417591" cy="724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57149</xdr:colOff>
      <xdr:row>24</xdr:row>
      <xdr:rowOff>130177</xdr:rowOff>
    </xdr:from>
    <xdr:ext cx="3175000" cy="247015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1149" y="7694615"/>
          <a:ext cx="3175000" cy="2470150"/>
        </a:xfrm>
        <a:prstGeom prst="rect">
          <a:avLst/>
        </a:prstGeom>
        <a:noFill/>
        <a:ln cmpd="sng">
          <a:solidFill>
            <a:srgbClr val="0070C0"/>
          </a:solidFill>
        </a:ln>
      </xdr:spPr>
    </xdr:pic>
    <xdr:clientData fLocksWithSheet="0"/>
  </xdr:oneCellAnchor>
  <xdr:oneCellAnchor>
    <xdr:from>
      <xdr:col>1</xdr:col>
      <xdr:colOff>15875</xdr:colOff>
      <xdr:row>1</xdr:row>
      <xdr:rowOff>184150</xdr:rowOff>
    </xdr:from>
    <xdr:ext cx="4229100" cy="3295650"/>
    <xdr:pic>
      <xdr:nvPicPr>
        <xdr:cNvPr id="7" name="image2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69875" y="430213"/>
          <a:ext cx="4229100" cy="3295650"/>
        </a:xfrm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urad/Dropbox/1.%20NYC%20Career%20Centers/1.%20Curriculum/2.%20Excel%20for%20Business%20Level%20II%20-%20Intermediate/Intermediate%20Excel%20for%20Business%20(updat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vmware-host/Shared%20Folders/Users/Pro%20Data-PC55/Dropbox/NYIM/Excel%202007-2010/HackintoshUsers/jt2/Downloads/Sales%20Seasonality%20by%20Month9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vmware-host/Shared%20Folders/Users/Pro%20Data-PC55/Dropbox/NYIM/Excel%202007-2010/HackintoshUsers/jt2/Downloads/Service%20Invoice97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Overview"/>
      <sheetName val="1) Navigation"/>
      <sheetName val="1) Navigation (MAC)"/>
      <sheetName val="2) Paste Special"/>
      <sheetName val="3) Splitting Text"/>
      <sheetName val="4) Joining Text"/>
      <sheetName val="5) Remove Duplicates"/>
      <sheetName val="5) Practice"/>
      <sheetName val="6) Data Validation"/>
      <sheetName val="7) Sort &amp; Filter"/>
      <sheetName val="7) Practice"/>
      <sheetName val="8) Named Ranges"/>
      <sheetName val="Project"/>
      <sheetName val="9) VLOOKUP"/>
      <sheetName val="9) Practice"/>
      <sheetName val="10) HLOOKUP"/>
      <sheetName val="11) IF Statements"/>
      <sheetName val="12) AND, OR"/>
      <sheetName val="13) SUM &amp; COUNTIFS"/>
      <sheetName val="14) Pivot Tables"/>
      <sheetName val="15) Practice &amp; Grouping"/>
      <sheetName val="16) Multiple Pivot Tables"/>
      <sheetName val="17) Ranking"/>
      <sheetName val="18) Combo Chart"/>
      <sheetName val="19) Project"/>
      <sheetName val="Save &amp; Email"/>
      <sheetName val="VLOOKUP-Closest Match"/>
      <sheetName val="Intermediate Excel for Business"/>
      <sheetName val="15) Pivot Tables &amp; Grouping"/>
    </sheetNames>
    <definedNames>
      <definedName name="Data.Top.Lef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/>
      <sheetData sheetId="26"/>
      <sheetData sheetId="27"/>
      <sheetData sheetId="28" refreshError="1"/>
      <sheetData sheetId="2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 Seasonality by Month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rvice Invoice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CF26A-3493-4743-925A-46905E8CB591}">
  <sheetPr codeName="Sheet3">
    <tabColor rgb="FF002060"/>
  </sheetPr>
  <dimension ref="A1:P36"/>
  <sheetViews>
    <sheetView showGridLines="0" zoomScale="80" zoomScaleNormal="80" workbookViewId="0">
      <selection activeCell="N22" sqref="N22"/>
    </sheetView>
  </sheetViews>
  <sheetFormatPr defaultColWidth="8.6328125" defaultRowHeight="16.5" outlineLevelCol="1" x14ac:dyDescent="0.45"/>
  <cols>
    <col min="1" max="1" width="3.6328125" style="39" customWidth="1"/>
    <col min="2" max="2" width="13.90625" style="40" customWidth="1"/>
    <col min="3" max="3" width="14.81640625" style="40" customWidth="1"/>
    <col min="4" max="4" width="15.54296875" style="40" customWidth="1"/>
    <col min="5" max="13" width="13.90625" style="40" customWidth="1"/>
    <col min="14" max="14" width="13.6328125" style="40" customWidth="1" outlineLevel="1"/>
    <col min="15" max="15" width="11.6328125" style="40" customWidth="1" outlineLevel="1"/>
    <col min="16" max="18" width="13.6328125" style="40" customWidth="1"/>
    <col min="19" max="16384" width="8.6328125" style="40"/>
  </cols>
  <sheetData>
    <row r="1" spans="2:16" s="35" customFormat="1" ht="23" thickBot="1" x14ac:dyDescent="0.4">
      <c r="B1" s="36" t="s">
        <v>148</v>
      </c>
      <c r="C1" s="36"/>
      <c r="D1" s="36"/>
      <c r="E1" s="36"/>
      <c r="F1" s="36"/>
      <c r="G1" s="36"/>
      <c r="H1" s="36"/>
      <c r="I1" s="36"/>
      <c r="J1" s="36"/>
      <c r="K1" s="37"/>
      <c r="L1" s="37"/>
      <c r="M1" s="37"/>
      <c r="N1" s="38"/>
    </row>
    <row r="2" spans="2:16" ht="17" thickTop="1" x14ac:dyDescent="0.45"/>
    <row r="3" spans="2:16" x14ac:dyDescent="0.45">
      <c r="B3" s="189" t="s">
        <v>55</v>
      </c>
      <c r="C3" s="42" t="s">
        <v>51</v>
      </c>
    </row>
    <row r="4" spans="2:16" x14ac:dyDescent="0.45">
      <c r="B4" s="41"/>
      <c r="C4" s="42" t="s">
        <v>52</v>
      </c>
    </row>
    <row r="5" spans="2:16" x14ac:dyDescent="0.45">
      <c r="B5" s="41"/>
      <c r="C5" s="42" t="s">
        <v>53</v>
      </c>
    </row>
    <row r="6" spans="2:16" x14ac:dyDescent="0.45">
      <c r="B6" s="41"/>
      <c r="C6" s="42" t="s">
        <v>54</v>
      </c>
    </row>
    <row r="7" spans="2:16" x14ac:dyDescent="0.45">
      <c r="B7" s="41"/>
    </row>
    <row r="8" spans="2:16" ht="17" thickBot="1" x14ac:dyDescent="0.5">
      <c r="C8" s="190"/>
      <c r="D8" s="190"/>
      <c r="E8" s="191" t="s">
        <v>29</v>
      </c>
      <c r="F8" s="191"/>
      <c r="G8" s="191"/>
      <c r="H8" s="191" t="s">
        <v>56</v>
      </c>
      <c r="I8" s="191"/>
      <c r="J8" s="191"/>
      <c r="K8" s="191"/>
      <c r="L8" s="191"/>
      <c r="M8" s="191"/>
    </row>
    <row r="9" spans="2:16" ht="18" x14ac:dyDescent="0.6">
      <c r="E9" s="198">
        <v>45657</v>
      </c>
      <c r="F9" s="198">
        <v>45657</v>
      </c>
      <c r="G9" s="199">
        <v>45657</v>
      </c>
      <c r="H9" s="198">
        <v>45657</v>
      </c>
      <c r="I9" s="198">
        <v>45657</v>
      </c>
      <c r="J9" s="198">
        <v>45657</v>
      </c>
      <c r="K9" s="198">
        <v>45657</v>
      </c>
      <c r="L9" s="198">
        <v>45657</v>
      </c>
      <c r="M9" s="198">
        <v>45657</v>
      </c>
    </row>
    <row r="10" spans="2:16" x14ac:dyDescent="0.45">
      <c r="C10" s="194" t="s">
        <v>31</v>
      </c>
      <c r="D10" s="42"/>
      <c r="E10" s="43">
        <v>746751</v>
      </c>
      <c r="F10" s="44">
        <v>778114</v>
      </c>
      <c r="G10" s="45">
        <v>806904</v>
      </c>
      <c r="H10" s="46">
        <f>G10*(1+H20)</f>
        <v>831111.12</v>
      </c>
      <c r="I10" s="46">
        <f t="shared" ref="I10:M10" si="0">H10*(1+I20)</f>
        <v>856044.45360000001</v>
      </c>
      <c r="J10" s="46">
        <f t="shared" si="0"/>
        <v>881725.78720800008</v>
      </c>
      <c r="K10" s="46">
        <f t="shared" si="0"/>
        <v>908177.56082424009</v>
      </c>
      <c r="L10" s="46">
        <f t="shared" si="0"/>
        <v>935422.88764896733</v>
      </c>
      <c r="M10" s="46">
        <f t="shared" si="0"/>
        <v>963485.57427843637</v>
      </c>
      <c r="N10" s="223"/>
      <c r="O10" s="223"/>
      <c r="P10" s="223"/>
    </row>
    <row r="11" spans="2:16" x14ac:dyDescent="0.45">
      <c r="C11" s="194" t="s">
        <v>57</v>
      </c>
      <c r="D11" s="42"/>
      <c r="E11" s="44">
        <v>451037</v>
      </c>
      <c r="F11" s="44">
        <v>468424</v>
      </c>
      <c r="G11" s="45">
        <v>486563</v>
      </c>
      <c r="H11" s="46">
        <f>H10-H12</f>
        <v>498666.67199999996</v>
      </c>
      <c r="I11" s="46">
        <f t="shared" ref="I11:M11" si="1">I10-I12</f>
        <v>513626.67215999996</v>
      </c>
      <c r="J11" s="46">
        <f t="shared" si="1"/>
        <v>529035.47232479998</v>
      </c>
      <c r="K11" s="46">
        <f t="shared" si="1"/>
        <v>544906.53649454401</v>
      </c>
      <c r="L11" s="46">
        <f t="shared" si="1"/>
        <v>561253.73258938035</v>
      </c>
      <c r="M11" s="46">
        <f t="shared" si="1"/>
        <v>578091.34456706187</v>
      </c>
      <c r="N11" s="223"/>
      <c r="O11" s="223"/>
      <c r="P11" s="223"/>
    </row>
    <row r="12" spans="2:16" x14ac:dyDescent="0.45">
      <c r="C12" s="195" t="s">
        <v>58</v>
      </c>
      <c r="D12" s="47"/>
      <c r="E12" s="48">
        <f t="shared" ref="E12:G12" si="2">E10-E11</f>
        <v>295714</v>
      </c>
      <c r="F12" s="48">
        <f t="shared" si="2"/>
        <v>309690</v>
      </c>
      <c r="G12" s="49">
        <f t="shared" si="2"/>
        <v>320341</v>
      </c>
      <c r="H12" s="48">
        <f>H10*H21</f>
        <v>332444.44800000003</v>
      </c>
      <c r="I12" s="48">
        <f t="shared" ref="I12:M12" si="3">I10*I21</f>
        <v>342417.78144000005</v>
      </c>
      <c r="J12" s="48">
        <f t="shared" si="3"/>
        <v>352690.31488320004</v>
      </c>
      <c r="K12" s="48">
        <f t="shared" si="3"/>
        <v>363271.02432969608</v>
      </c>
      <c r="L12" s="48">
        <f t="shared" si="3"/>
        <v>374169.15505958698</v>
      </c>
      <c r="M12" s="48">
        <f t="shared" si="3"/>
        <v>385394.22971137456</v>
      </c>
      <c r="N12" s="223"/>
      <c r="O12" s="223"/>
      <c r="P12" s="223"/>
    </row>
    <row r="13" spans="2:16" x14ac:dyDescent="0.45">
      <c r="C13" s="194" t="s">
        <v>59</v>
      </c>
      <c r="D13" s="42"/>
      <c r="E13" s="43">
        <v>44574</v>
      </c>
      <c r="F13" s="43">
        <v>53600</v>
      </c>
      <c r="G13" s="45">
        <v>54474</v>
      </c>
      <c r="H13" s="50">
        <f>H22*H10</f>
        <v>58177.778400000003</v>
      </c>
      <c r="I13" s="50">
        <f t="shared" ref="I13:M13" si="4">I22*I10</f>
        <v>59923.111752000004</v>
      </c>
      <c r="J13" s="50">
        <f t="shared" si="4"/>
        <v>61720.805104560015</v>
      </c>
      <c r="K13" s="50">
        <f t="shared" si="4"/>
        <v>63572.429257696815</v>
      </c>
      <c r="L13" s="50">
        <f t="shared" si="4"/>
        <v>65479.602135427718</v>
      </c>
      <c r="M13" s="50">
        <f t="shared" si="4"/>
        <v>67443.990199490552</v>
      </c>
      <c r="N13" s="223"/>
      <c r="O13" s="223"/>
      <c r="P13" s="223"/>
    </row>
    <row r="14" spans="2:16" x14ac:dyDescent="0.45">
      <c r="C14" s="194" t="s">
        <v>60</v>
      </c>
      <c r="D14" s="42"/>
      <c r="E14" s="43">
        <v>70868</v>
      </c>
      <c r="F14" s="43">
        <v>78660</v>
      </c>
      <c r="G14" s="45">
        <v>88305</v>
      </c>
      <c r="H14" s="51">
        <v>90000</v>
      </c>
      <c r="I14" s="52">
        <v>90000</v>
      </c>
      <c r="J14" s="52">
        <v>90000</v>
      </c>
      <c r="K14" s="52">
        <v>90000</v>
      </c>
      <c r="L14" s="52">
        <v>90000</v>
      </c>
      <c r="M14" s="52">
        <v>90000</v>
      </c>
      <c r="N14" s="223"/>
      <c r="O14" s="223"/>
      <c r="P14" s="223"/>
    </row>
    <row r="15" spans="2:16" x14ac:dyDescent="0.45">
      <c r="C15" s="194" t="s">
        <v>61</v>
      </c>
      <c r="D15" s="42"/>
      <c r="E15" s="44">
        <v>34789</v>
      </c>
      <c r="F15" s="44">
        <v>36876</v>
      </c>
      <c r="G15" s="45">
        <v>38351</v>
      </c>
      <c r="H15" s="51">
        <v>40000</v>
      </c>
      <c r="I15" s="51">
        <v>40000</v>
      </c>
      <c r="J15" s="51">
        <v>40000</v>
      </c>
      <c r="K15" s="51">
        <v>40000</v>
      </c>
      <c r="L15" s="51">
        <v>40000</v>
      </c>
      <c r="M15" s="51">
        <v>40000</v>
      </c>
      <c r="N15" s="223"/>
      <c r="O15" s="223"/>
      <c r="P15" s="223"/>
    </row>
    <row r="16" spans="2:16" x14ac:dyDescent="0.45">
      <c r="C16" s="195" t="s">
        <v>62</v>
      </c>
      <c r="D16" s="47"/>
      <c r="E16" s="48">
        <f>E12-E13-E14-E15</f>
        <v>145483</v>
      </c>
      <c r="F16" s="48">
        <f>F12-F13-F14-F15</f>
        <v>140554</v>
      </c>
      <c r="G16" s="48">
        <f>G12-G13-G14-G15</f>
        <v>139211</v>
      </c>
      <c r="H16" s="48">
        <f t="shared" ref="H16:M16" si="5">H12-H13-H14-H15</f>
        <v>144266.66960000002</v>
      </c>
      <c r="I16" s="48">
        <f t="shared" si="5"/>
        <v>152494.66968800005</v>
      </c>
      <c r="J16" s="48">
        <f t="shared" si="5"/>
        <v>160969.50977864</v>
      </c>
      <c r="K16" s="48">
        <f t="shared" si="5"/>
        <v>169698.59507199924</v>
      </c>
      <c r="L16" s="48">
        <f t="shared" si="5"/>
        <v>178689.55292415927</v>
      </c>
      <c r="M16" s="48">
        <f t="shared" si="5"/>
        <v>187950.23951188399</v>
      </c>
      <c r="N16" s="223"/>
      <c r="O16" s="223"/>
      <c r="P16" s="223"/>
    </row>
    <row r="17" spans="3:16" x14ac:dyDescent="0.45">
      <c r="C17" s="194" t="s">
        <v>63</v>
      </c>
      <c r="D17" s="42"/>
      <c r="E17" s="44">
        <v>54555</v>
      </c>
      <c r="F17" s="44">
        <v>52707</v>
      </c>
      <c r="G17" s="45">
        <v>52204</v>
      </c>
      <c r="H17" s="46"/>
      <c r="I17" s="46"/>
      <c r="J17" s="46"/>
      <c r="K17" s="46"/>
      <c r="L17" s="46"/>
      <c r="M17" s="46"/>
      <c r="N17" s="223"/>
      <c r="O17" s="223"/>
      <c r="P17" s="223"/>
    </row>
    <row r="18" spans="3:16" ht="17" thickBot="1" x14ac:dyDescent="0.5">
      <c r="C18" s="196" t="s">
        <v>64</v>
      </c>
      <c r="D18" s="53"/>
      <c r="E18" s="54">
        <f>E16-E17</f>
        <v>90928</v>
      </c>
      <c r="F18" s="54">
        <f>F16-F17</f>
        <v>87847</v>
      </c>
      <c r="G18" s="54">
        <f>G16-G17</f>
        <v>87007</v>
      </c>
      <c r="H18" s="54">
        <f t="shared" ref="H18:M18" si="6">H16-H17</f>
        <v>144266.66960000002</v>
      </c>
      <c r="I18" s="54">
        <f t="shared" si="6"/>
        <v>152494.66968800005</v>
      </c>
      <c r="J18" s="54">
        <f t="shared" si="6"/>
        <v>160969.50977864</v>
      </c>
      <c r="K18" s="54">
        <f t="shared" si="6"/>
        <v>169698.59507199924</v>
      </c>
      <c r="L18" s="54">
        <f t="shared" si="6"/>
        <v>178689.55292415927</v>
      </c>
      <c r="M18" s="54">
        <f t="shared" si="6"/>
        <v>187950.23951188399</v>
      </c>
      <c r="N18" s="223"/>
      <c r="O18" s="223"/>
      <c r="P18" s="223"/>
    </row>
    <row r="19" spans="3:16" ht="17" thickTop="1" x14ac:dyDescent="0.45">
      <c r="E19" s="55"/>
      <c r="F19" s="55"/>
      <c r="G19" s="56"/>
      <c r="H19" s="55"/>
      <c r="I19" s="55"/>
      <c r="J19" s="55"/>
      <c r="K19" s="55"/>
      <c r="L19" s="55"/>
      <c r="M19" s="55"/>
      <c r="N19" s="223"/>
      <c r="O19" s="223"/>
      <c r="P19" s="223"/>
    </row>
    <row r="20" spans="3:16" x14ac:dyDescent="0.45">
      <c r="C20" s="197" t="s">
        <v>21</v>
      </c>
      <c r="D20" s="197"/>
      <c r="E20" s="192"/>
      <c r="F20" s="192">
        <v>4.2000000000000003E-2</v>
      </c>
      <c r="G20" s="192">
        <v>3.6999999999999998E-2</v>
      </c>
      <c r="H20" s="193">
        <v>0.03</v>
      </c>
      <c r="I20" s="193">
        <v>0.03</v>
      </c>
      <c r="J20" s="193">
        <v>0.03</v>
      </c>
      <c r="K20" s="193">
        <v>0.03</v>
      </c>
      <c r="L20" s="193">
        <v>0.03</v>
      </c>
      <c r="M20" s="193">
        <v>0.03</v>
      </c>
      <c r="N20" s="223"/>
      <c r="O20" s="223"/>
      <c r="P20" s="223"/>
    </row>
    <row r="21" spans="3:16" x14ac:dyDescent="0.45">
      <c r="C21" s="197" t="s">
        <v>65</v>
      </c>
      <c r="D21" s="197"/>
      <c r="E21" s="192">
        <f>E12/E10</f>
        <v>0.39600080883721617</v>
      </c>
      <c r="F21" s="192">
        <f>F12/F10</f>
        <v>0.39800080707968244</v>
      </c>
      <c r="G21" s="192">
        <f>G12/G10</f>
        <v>0.39700013880213753</v>
      </c>
      <c r="H21" s="193">
        <v>0.4</v>
      </c>
      <c r="I21" s="193">
        <v>0.4</v>
      </c>
      <c r="J21" s="193">
        <v>0.4</v>
      </c>
      <c r="K21" s="193">
        <v>0.4</v>
      </c>
      <c r="L21" s="193">
        <v>0.4</v>
      </c>
      <c r="M21" s="193">
        <v>0.4</v>
      </c>
      <c r="N21" s="223"/>
      <c r="O21" s="223"/>
      <c r="P21" s="223"/>
    </row>
    <row r="22" spans="3:16" x14ac:dyDescent="0.45">
      <c r="C22" s="197" t="s">
        <v>66</v>
      </c>
      <c r="D22" s="197"/>
      <c r="E22" s="192">
        <f>E13/E10</f>
        <v>5.9690579590787288E-2</v>
      </c>
      <c r="F22" s="192">
        <f>F13/F10</f>
        <v>6.8884507925573893E-2</v>
      </c>
      <c r="G22" s="192">
        <f>G13/G10</f>
        <v>6.7509889652300648E-2</v>
      </c>
      <c r="H22" s="193">
        <v>7.0000000000000007E-2</v>
      </c>
      <c r="I22" s="193">
        <v>7.0000000000000007E-2</v>
      </c>
      <c r="J22" s="193">
        <v>7.0000000000000007E-2</v>
      </c>
      <c r="K22" s="193">
        <v>7.0000000000000007E-2</v>
      </c>
      <c r="L22" s="193">
        <v>7.0000000000000007E-2</v>
      </c>
      <c r="M22" s="193">
        <v>7.0000000000000007E-2</v>
      </c>
      <c r="N22" s="223"/>
      <c r="O22" s="223"/>
      <c r="P22" s="223"/>
    </row>
    <row r="23" spans="3:16" x14ac:dyDescent="0.45">
      <c r="C23" s="254" t="s">
        <v>67</v>
      </c>
      <c r="D23" s="255"/>
      <c r="E23" s="192">
        <f>E17/E16</f>
        <v>0.3749922671377412</v>
      </c>
      <c r="F23" s="192">
        <f>F17/F16</f>
        <v>0.3749946639725657</v>
      </c>
      <c r="G23" s="192">
        <f>G17/G16</f>
        <v>0.37499910208245041</v>
      </c>
      <c r="H23" s="193">
        <v>0.245</v>
      </c>
      <c r="I23" s="193">
        <v>0.245</v>
      </c>
      <c r="J23" s="193">
        <v>0.245</v>
      </c>
      <c r="K23" s="193">
        <v>0.245</v>
      </c>
      <c r="L23" s="193">
        <v>0.245</v>
      </c>
      <c r="M23" s="193">
        <v>0.245</v>
      </c>
      <c r="N23" s="223"/>
      <c r="O23" s="223"/>
      <c r="P23" s="223"/>
    </row>
    <row r="24" spans="3:16" ht="17" thickBot="1" x14ac:dyDescent="0.5">
      <c r="E24" s="57"/>
      <c r="F24" s="57"/>
      <c r="G24" s="57"/>
      <c r="H24" s="57"/>
      <c r="I24" s="57"/>
      <c r="J24" s="57"/>
      <c r="K24" s="57"/>
      <c r="L24" s="57"/>
      <c r="M24" s="57"/>
      <c r="N24" s="223"/>
      <c r="O24" s="223"/>
      <c r="P24" s="223"/>
    </row>
    <row r="25" spans="3:16" ht="17" thickBot="1" x14ac:dyDescent="0.5">
      <c r="C25" s="201" t="s">
        <v>68</v>
      </c>
      <c r="D25" s="202">
        <v>0.08</v>
      </c>
    </row>
    <row r="26" spans="3:16" x14ac:dyDescent="0.45">
      <c r="D26" s="58"/>
    </row>
    <row r="27" spans="3:16" x14ac:dyDescent="0.45">
      <c r="C27" s="197" t="s">
        <v>69</v>
      </c>
      <c r="D27" s="203">
        <v>1</v>
      </c>
      <c r="E27" s="203">
        <f t="shared" ref="E27:M27" si="7">D27+1</f>
        <v>2</v>
      </c>
      <c r="F27" s="203">
        <f t="shared" si="7"/>
        <v>3</v>
      </c>
      <c r="G27" s="203">
        <f t="shared" si="7"/>
        <v>4</v>
      </c>
      <c r="H27" s="203">
        <f t="shared" si="7"/>
        <v>5</v>
      </c>
      <c r="I27" s="203">
        <f t="shared" si="7"/>
        <v>6</v>
      </c>
      <c r="J27" s="203">
        <f t="shared" si="7"/>
        <v>7</v>
      </c>
      <c r="K27" s="203">
        <f t="shared" si="7"/>
        <v>8</v>
      </c>
      <c r="L27" s="203">
        <f t="shared" si="7"/>
        <v>9</v>
      </c>
      <c r="M27" s="203">
        <f t="shared" si="7"/>
        <v>10</v>
      </c>
    </row>
    <row r="28" spans="3:16" x14ac:dyDescent="0.45">
      <c r="C28" s="197" t="s">
        <v>70</v>
      </c>
      <c r="D28" s="203">
        <v>1000</v>
      </c>
      <c r="E28" s="203">
        <f t="shared" ref="E28:M28" si="8">D28*(1.05)</f>
        <v>1050</v>
      </c>
      <c r="F28" s="203">
        <f t="shared" si="8"/>
        <v>1102.5</v>
      </c>
      <c r="G28" s="203">
        <f t="shared" si="8"/>
        <v>1157.625</v>
      </c>
      <c r="H28" s="203">
        <f t="shared" si="8"/>
        <v>1215.5062500000001</v>
      </c>
      <c r="I28" s="203">
        <f t="shared" si="8"/>
        <v>1276.2815625000003</v>
      </c>
      <c r="J28" s="203">
        <f t="shared" si="8"/>
        <v>1340.0956406250004</v>
      </c>
      <c r="K28" s="203">
        <f t="shared" si="8"/>
        <v>1407.1004226562504</v>
      </c>
      <c r="L28" s="203">
        <f t="shared" si="8"/>
        <v>1477.4554437890631</v>
      </c>
      <c r="M28" s="203">
        <f t="shared" si="8"/>
        <v>1551.3282159785163</v>
      </c>
    </row>
    <row r="29" spans="3:16" x14ac:dyDescent="0.45">
      <c r="C29" s="197" t="s">
        <v>71</v>
      </c>
      <c r="D29" s="204">
        <f>D28/(1+$D$25)^D27</f>
        <v>925.92592592592587</v>
      </c>
      <c r="E29" s="204">
        <f t="shared" ref="E29:M29" si="9">E28/(1+$D$25)^E27</f>
        <v>900.20576131687233</v>
      </c>
      <c r="F29" s="204">
        <f t="shared" si="9"/>
        <v>875.20004572473692</v>
      </c>
      <c r="G29" s="204">
        <f t="shared" si="9"/>
        <v>850.88893334349416</v>
      </c>
      <c r="H29" s="204">
        <f t="shared" si="9"/>
        <v>827.2531296395083</v>
      </c>
      <c r="I29" s="204">
        <f t="shared" si="9"/>
        <v>804.27387603841089</v>
      </c>
      <c r="J29" s="204">
        <f t="shared" si="9"/>
        <v>781.93293503734401</v>
      </c>
      <c r="K29" s="204">
        <f t="shared" si="9"/>
        <v>760.21257573075104</v>
      </c>
      <c r="L29" s="204">
        <f t="shared" si="9"/>
        <v>739.09555973823024</v>
      </c>
      <c r="M29" s="204">
        <f t="shared" si="9"/>
        <v>718.56512752327933</v>
      </c>
    </row>
    <row r="30" spans="3:16" ht="17" thickBot="1" x14ac:dyDescent="0.5"/>
    <row r="31" spans="3:16" ht="17" thickBot="1" x14ac:dyDescent="0.5">
      <c r="C31" s="201" t="s">
        <v>72</v>
      </c>
      <c r="D31" s="205">
        <f>SUM(D29:M29)</f>
        <v>8183.5538700185525</v>
      </c>
    </row>
    <row r="34" spans="3:5" x14ac:dyDescent="0.45">
      <c r="C34" s="59" t="s">
        <v>73</v>
      </c>
    </row>
    <row r="35" spans="3:5" x14ac:dyDescent="0.45">
      <c r="C35" s="40" t="s">
        <v>74</v>
      </c>
      <c r="E35" s="40" t="s">
        <v>75</v>
      </c>
    </row>
    <row r="36" spans="3:5" x14ac:dyDescent="0.45">
      <c r="C36" s="40" t="s">
        <v>76</v>
      </c>
      <c r="E36" s="40" t="s">
        <v>77</v>
      </c>
    </row>
  </sheetData>
  <mergeCells count="1">
    <mergeCell ref="C23:D2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7D0E1-18DC-4AA6-8828-6DDB1267850A}">
  <sheetPr codeName="Sheet6">
    <tabColor rgb="FF002060"/>
    <pageSetUpPr fitToPage="1"/>
  </sheetPr>
  <dimension ref="A1:T65"/>
  <sheetViews>
    <sheetView showGridLines="0" zoomScale="80" zoomScaleNormal="80" zoomScaleSheetLayoutView="100" workbookViewId="0">
      <pane ySplit="1" topLeftCell="A32" activePane="bottomLeft" state="frozen"/>
      <selection pane="bottomLeft" activeCell="U51" sqref="U51"/>
    </sheetView>
  </sheetViews>
  <sheetFormatPr defaultColWidth="9.08984375" defaultRowHeight="16" x14ac:dyDescent="0.35"/>
  <cols>
    <col min="1" max="1" width="3.6328125" style="125" customWidth="1"/>
    <col min="2" max="2" width="35.81640625" style="126" customWidth="1"/>
    <col min="3" max="3" width="14.36328125" style="126" customWidth="1"/>
    <col min="4" max="10" width="12.6328125" style="126" customWidth="1"/>
    <col min="11" max="11" width="12.6328125" style="174" customWidth="1"/>
    <col min="12" max="13" width="12.6328125" style="126" customWidth="1"/>
    <col min="14" max="14" width="16.453125" style="126" customWidth="1"/>
    <col min="15" max="15" width="12.6328125" style="126" customWidth="1"/>
    <col min="16" max="16384" width="9.08984375" style="126"/>
  </cols>
  <sheetData>
    <row r="1" spans="1:15" s="121" customFormat="1" ht="16.5" thickBot="1" x14ac:dyDescent="0.4">
      <c r="B1" s="122" t="s">
        <v>150</v>
      </c>
      <c r="C1" s="122"/>
      <c r="D1" s="122"/>
      <c r="E1" s="122"/>
      <c r="F1" s="122"/>
      <c r="G1" s="122"/>
      <c r="H1" s="122"/>
      <c r="I1" s="122"/>
      <c r="J1" s="122"/>
      <c r="K1" s="173"/>
      <c r="L1" s="123"/>
      <c r="O1" s="124"/>
    </row>
    <row r="2" spans="1:15" ht="16.5" thickTop="1" x14ac:dyDescent="0.35"/>
    <row r="3" spans="1:15" s="4" customFormat="1" ht="16.5" x14ac:dyDescent="0.35">
      <c r="A3" s="3"/>
      <c r="B3" s="5" t="s">
        <v>15</v>
      </c>
      <c r="C3" s="6"/>
      <c r="D3" s="6"/>
      <c r="E3" s="6"/>
      <c r="F3" s="6"/>
      <c r="G3" s="6"/>
      <c r="H3" s="6"/>
      <c r="I3" s="6"/>
      <c r="J3" s="6"/>
      <c r="K3" s="175"/>
      <c r="L3" s="126"/>
    </row>
    <row r="4" spans="1:15" ht="5.15" customHeight="1" x14ac:dyDescent="0.35"/>
    <row r="5" spans="1:15" ht="17.5" x14ac:dyDescent="0.35">
      <c r="B5" s="129" t="s">
        <v>172</v>
      </c>
      <c r="C5" s="130"/>
      <c r="D5" s="130"/>
      <c r="E5" s="130"/>
      <c r="F5" s="130"/>
    </row>
    <row r="6" spans="1:15" ht="17.5" x14ac:dyDescent="0.35">
      <c r="B6" s="129" t="s">
        <v>173</v>
      </c>
      <c r="C6" s="130"/>
      <c r="D6" s="130"/>
      <c r="E6" s="130"/>
      <c r="F6" s="130"/>
    </row>
    <row r="7" spans="1:15" ht="17.5" x14ac:dyDescent="0.35">
      <c r="C7" s="130"/>
      <c r="D7" s="130"/>
      <c r="E7" s="130"/>
      <c r="F7" s="130"/>
    </row>
    <row r="8" spans="1:15" ht="17.5" x14ac:dyDescent="0.35">
      <c r="B8" s="131" t="s">
        <v>16</v>
      </c>
      <c r="C8" s="132">
        <v>2</v>
      </c>
      <c r="D8" s="130"/>
      <c r="E8" s="130"/>
      <c r="F8" s="130"/>
    </row>
    <row r="9" spans="1:15" ht="18" thickBot="1" x14ac:dyDescent="0.4">
      <c r="C9" s="130"/>
      <c r="D9" s="130"/>
      <c r="E9" s="130"/>
      <c r="F9" s="130"/>
    </row>
    <row r="10" spans="1:15" s="4" customFormat="1" ht="18.5" thickBot="1" x14ac:dyDescent="0.4">
      <c r="A10" s="3"/>
      <c r="B10" s="83"/>
      <c r="C10" s="7" t="s">
        <v>17</v>
      </c>
      <c r="D10" s="8" t="s">
        <v>18</v>
      </c>
      <c r="E10" s="8" t="s">
        <v>19</v>
      </c>
      <c r="F10" s="9" t="s">
        <v>20</v>
      </c>
      <c r="K10" s="175"/>
      <c r="L10" s="126"/>
    </row>
    <row r="11" spans="1:15" x14ac:dyDescent="0.35">
      <c r="B11" s="133" t="s">
        <v>21</v>
      </c>
      <c r="C11" s="134">
        <f>CHOOSE($C$8,D11,E11,F11)</f>
        <v>0.02</v>
      </c>
      <c r="D11" s="135">
        <v>0.04</v>
      </c>
      <c r="E11" s="135">
        <v>0.02</v>
      </c>
      <c r="F11" s="135">
        <v>0.06</v>
      </c>
    </row>
    <row r="12" spans="1:15" x14ac:dyDescent="0.35">
      <c r="B12" s="170" t="s">
        <v>22</v>
      </c>
      <c r="C12" s="137">
        <f t="shared" ref="C12:C17" si="0">CHOOSE($C$8,D12,E12,F12)</f>
        <v>0.49</v>
      </c>
      <c r="D12" s="138">
        <v>0.46</v>
      </c>
      <c r="E12" s="138">
        <v>0.49</v>
      </c>
      <c r="F12" s="138">
        <v>0.45</v>
      </c>
    </row>
    <row r="13" spans="1:15" x14ac:dyDescent="0.35">
      <c r="B13" s="148" t="s">
        <v>23</v>
      </c>
      <c r="C13" s="137">
        <f t="shared" si="0"/>
        <v>0.16</v>
      </c>
      <c r="D13" s="138">
        <v>0.15</v>
      </c>
      <c r="E13" s="138">
        <v>0.16</v>
      </c>
      <c r="F13" s="138">
        <v>0.17</v>
      </c>
    </row>
    <row r="14" spans="1:15" x14ac:dyDescent="0.35">
      <c r="B14" s="148" t="s">
        <v>24</v>
      </c>
      <c r="C14" s="137">
        <f t="shared" si="0"/>
        <v>0.2</v>
      </c>
      <c r="D14" s="138">
        <v>0.18</v>
      </c>
      <c r="E14" s="138">
        <v>0.2</v>
      </c>
      <c r="F14" s="138">
        <v>0.16</v>
      </c>
    </row>
    <row r="15" spans="1:15" x14ac:dyDescent="0.35">
      <c r="B15" s="148" t="s">
        <v>25</v>
      </c>
      <c r="C15" s="137">
        <f>CHOOSE($C$8,D15,E15,F15)</f>
        <v>0.1</v>
      </c>
      <c r="D15" s="138">
        <v>0.09</v>
      </c>
      <c r="E15" s="138">
        <v>0.1</v>
      </c>
      <c r="F15" s="138">
        <v>0.08</v>
      </c>
    </row>
    <row r="16" spans="1:15" x14ac:dyDescent="0.35">
      <c r="B16" s="170" t="s">
        <v>26</v>
      </c>
      <c r="C16" s="137">
        <f t="shared" si="0"/>
        <v>0.3</v>
      </c>
      <c r="D16" s="138">
        <v>0.35</v>
      </c>
      <c r="E16" s="138">
        <v>0.3</v>
      </c>
      <c r="F16" s="138">
        <v>0.4</v>
      </c>
    </row>
    <row r="17" spans="1:14" x14ac:dyDescent="0.35">
      <c r="B17" s="136" t="s">
        <v>27</v>
      </c>
      <c r="C17" s="137">
        <f t="shared" si="0"/>
        <v>0.09</v>
      </c>
      <c r="D17" s="138">
        <v>0.08</v>
      </c>
      <c r="E17" s="138">
        <v>0.09</v>
      </c>
      <c r="F17" s="138">
        <v>7.0000000000000007E-2</v>
      </c>
    </row>
    <row r="19" spans="1:14" x14ac:dyDescent="0.35">
      <c r="B19" s="127" t="s">
        <v>28</v>
      </c>
      <c r="C19" s="128"/>
      <c r="D19" s="128"/>
      <c r="E19" s="128"/>
      <c r="F19" s="128"/>
      <c r="G19" s="128"/>
      <c r="H19" s="128"/>
      <c r="I19" s="128"/>
      <c r="J19" s="128"/>
    </row>
    <row r="20" spans="1:14" ht="5.15" customHeight="1" x14ac:dyDescent="0.35"/>
    <row r="21" spans="1:14" ht="17.5" x14ac:dyDescent="0.35">
      <c r="B21" s="129" t="s">
        <v>174</v>
      </c>
      <c r="C21" s="139"/>
      <c r="D21" s="140"/>
      <c r="E21" s="140"/>
      <c r="F21" s="139"/>
      <c r="G21" s="140"/>
      <c r="H21" s="140"/>
      <c r="I21" s="140"/>
      <c r="J21" s="140"/>
      <c r="K21" s="176"/>
      <c r="L21" s="140"/>
    </row>
    <row r="22" spans="1:14" ht="17.5" x14ac:dyDescent="0.35">
      <c r="B22" s="129" t="s">
        <v>175</v>
      </c>
      <c r="C22" s="139"/>
      <c r="D22" s="140"/>
      <c r="E22" s="140"/>
      <c r="F22" s="139"/>
      <c r="G22" s="140"/>
      <c r="H22" s="140"/>
      <c r="I22" s="140"/>
      <c r="J22" s="140"/>
      <c r="K22" s="176"/>
      <c r="L22" s="140"/>
    </row>
    <row r="23" spans="1:14" ht="17.5" x14ac:dyDescent="0.35">
      <c r="B23" s="129" t="s">
        <v>176</v>
      </c>
      <c r="C23" s="139"/>
      <c r="D23" s="140"/>
      <c r="E23" s="140"/>
      <c r="F23" s="139"/>
      <c r="G23" s="140"/>
      <c r="H23" s="140"/>
      <c r="I23" s="140"/>
      <c r="J23" s="140"/>
      <c r="K23" s="176"/>
      <c r="L23" s="140"/>
    </row>
    <row r="24" spans="1:14" ht="17.5" x14ac:dyDescent="0.35">
      <c r="B24" s="129" t="s">
        <v>177</v>
      </c>
      <c r="C24" s="139"/>
      <c r="D24" s="140"/>
      <c r="E24" s="140"/>
      <c r="F24" s="139"/>
      <c r="G24" s="140"/>
      <c r="H24" s="140"/>
      <c r="I24" s="140"/>
      <c r="J24" s="140"/>
      <c r="K24" s="176"/>
      <c r="L24" s="140"/>
    </row>
    <row r="25" spans="1:14" ht="18" thickBot="1" x14ac:dyDescent="0.4">
      <c r="C25" s="139"/>
      <c r="D25" s="140"/>
      <c r="E25" s="140"/>
      <c r="F25" s="139"/>
      <c r="G25" s="140"/>
      <c r="H25" s="140"/>
      <c r="I25" s="140"/>
      <c r="J25" s="140"/>
      <c r="K25" s="176"/>
      <c r="L25" s="140"/>
    </row>
    <row r="26" spans="1:14" s="4" customFormat="1" ht="18.5" thickBot="1" x14ac:dyDescent="0.4">
      <c r="A26" s="3"/>
      <c r="B26" s="10"/>
      <c r="C26" s="11" t="s">
        <v>29</v>
      </c>
      <c r="D26" s="12"/>
      <c r="E26" s="12"/>
      <c r="F26" s="11" t="s">
        <v>30</v>
      </c>
      <c r="G26" s="12"/>
      <c r="H26" s="12"/>
      <c r="I26" s="12"/>
      <c r="J26" s="13"/>
      <c r="K26" s="177"/>
    </row>
    <row r="27" spans="1:14" ht="17.5" x14ac:dyDescent="0.35">
      <c r="B27" s="131"/>
      <c r="C27" s="141">
        <v>42369</v>
      </c>
      <c r="D27" s="141">
        <v>42735</v>
      </c>
      <c r="E27" s="141">
        <v>43100</v>
      </c>
      <c r="F27" s="142">
        <f t="shared" ref="F27:J27" si="1">EOMONTH(E27,12)</f>
        <v>43465</v>
      </c>
      <c r="G27" s="142">
        <f t="shared" si="1"/>
        <v>43830</v>
      </c>
      <c r="H27" s="142">
        <f t="shared" si="1"/>
        <v>44196</v>
      </c>
      <c r="I27" s="142">
        <f t="shared" si="1"/>
        <v>44561</v>
      </c>
      <c r="J27" s="142">
        <f t="shared" si="1"/>
        <v>44926</v>
      </c>
      <c r="K27" s="178"/>
      <c r="L27" s="186" t="s">
        <v>184</v>
      </c>
      <c r="M27" s="143"/>
    </row>
    <row r="28" spans="1:14" x14ac:dyDescent="0.35">
      <c r="B28" s="144" t="s">
        <v>169</v>
      </c>
      <c r="C28" s="145">
        <v>826751</v>
      </c>
      <c r="D28" s="145">
        <v>852887.28499999992</v>
      </c>
      <c r="E28" s="145">
        <v>895396.08567499986</v>
      </c>
      <c r="F28" s="146">
        <f t="shared" ref="F28:J28" si="2">E28*(1+$C$11)</f>
        <v>913304.00738849991</v>
      </c>
      <c r="G28" s="146">
        <f t="shared" si="2"/>
        <v>931570.08753626992</v>
      </c>
      <c r="H28" s="146">
        <f t="shared" si="2"/>
        <v>950201.48928699538</v>
      </c>
      <c r="I28" s="146">
        <f t="shared" si="2"/>
        <v>969205.51907273533</v>
      </c>
      <c r="J28" s="146">
        <f t="shared" si="2"/>
        <v>988589.62945419003</v>
      </c>
      <c r="K28" s="179"/>
      <c r="L28" s="257" t="s">
        <v>183</v>
      </c>
      <c r="M28" s="257"/>
      <c r="N28" s="257"/>
    </row>
    <row r="29" spans="1:14" x14ac:dyDescent="0.35">
      <c r="B29" s="148" t="s">
        <v>155</v>
      </c>
      <c r="C29" s="145">
        <v>386000</v>
      </c>
      <c r="D29" s="145">
        <v>401440</v>
      </c>
      <c r="E29" s="145">
        <v>417497.60000000003</v>
      </c>
      <c r="F29" s="146">
        <f t="shared" ref="F29:J29" si="3">$C$12*F28</f>
        <v>447518.96362036496</v>
      </c>
      <c r="G29" s="146">
        <f t="shared" si="3"/>
        <v>456469.34289277223</v>
      </c>
      <c r="H29" s="146">
        <f t="shared" si="3"/>
        <v>465598.72975062771</v>
      </c>
      <c r="I29" s="146">
        <f t="shared" si="3"/>
        <v>474910.70434564032</v>
      </c>
      <c r="J29" s="146">
        <f t="shared" si="3"/>
        <v>484408.91843255312</v>
      </c>
      <c r="K29" s="179"/>
      <c r="L29" s="257"/>
      <c r="M29" s="257"/>
      <c r="N29" s="257"/>
    </row>
    <row r="30" spans="1:14" x14ac:dyDescent="0.35">
      <c r="B30" s="148" t="s">
        <v>32</v>
      </c>
      <c r="C30" s="145">
        <v>125000</v>
      </c>
      <c r="D30" s="145">
        <v>128000</v>
      </c>
      <c r="E30" s="145">
        <v>131000</v>
      </c>
      <c r="F30" s="146">
        <f t="shared" ref="F30:J30" si="4">+$C$13*F28</f>
        <v>146128.64118215998</v>
      </c>
      <c r="G30" s="146">
        <f t="shared" si="4"/>
        <v>149051.21400580319</v>
      </c>
      <c r="H30" s="146">
        <f t="shared" si="4"/>
        <v>152032.23828591927</v>
      </c>
      <c r="I30" s="146">
        <f t="shared" si="4"/>
        <v>155072.88305163765</v>
      </c>
      <c r="J30" s="146">
        <f t="shared" si="4"/>
        <v>158174.34071267041</v>
      </c>
      <c r="K30" s="179"/>
      <c r="L30" s="257"/>
      <c r="M30" s="257"/>
      <c r="N30" s="257"/>
    </row>
    <row r="31" spans="1:14" x14ac:dyDescent="0.35">
      <c r="B31" s="148" t="s">
        <v>33</v>
      </c>
      <c r="C31" s="145">
        <v>132896</v>
      </c>
      <c r="D31" s="145">
        <v>146185.60000000001</v>
      </c>
      <c r="E31" s="145">
        <v>160804.16000000003</v>
      </c>
      <c r="F31" s="146">
        <f t="shared" ref="F31:J31" si="5">$C$14*F28</f>
        <v>182660.80147770001</v>
      </c>
      <c r="G31" s="146">
        <f t="shared" si="5"/>
        <v>186314.017507254</v>
      </c>
      <c r="H31" s="146">
        <f t="shared" si="5"/>
        <v>190040.2978573991</v>
      </c>
      <c r="I31" s="146">
        <f t="shared" si="5"/>
        <v>193841.10381454707</v>
      </c>
      <c r="J31" s="146">
        <f t="shared" si="5"/>
        <v>197717.92589083803</v>
      </c>
      <c r="K31" s="179"/>
      <c r="L31" s="257"/>
      <c r="M31" s="257"/>
      <c r="N31" s="257"/>
    </row>
    <row r="32" spans="1:14" x14ac:dyDescent="0.35">
      <c r="B32" s="148" t="s">
        <v>34</v>
      </c>
      <c r="C32" s="145">
        <v>70868</v>
      </c>
      <c r="D32" s="145">
        <v>78660</v>
      </c>
      <c r="E32" s="145">
        <v>88305</v>
      </c>
      <c r="F32" s="146">
        <f t="shared" ref="F32:J32" si="6">$C$15*F28</f>
        <v>91330.400738850003</v>
      </c>
      <c r="G32" s="146">
        <f t="shared" si="6"/>
        <v>93157.008753627</v>
      </c>
      <c r="H32" s="146">
        <f t="shared" si="6"/>
        <v>95020.148928699549</v>
      </c>
      <c r="I32" s="146">
        <f t="shared" si="6"/>
        <v>96920.551907273533</v>
      </c>
      <c r="J32" s="146">
        <f t="shared" si="6"/>
        <v>98858.962945419014</v>
      </c>
      <c r="K32" s="179"/>
      <c r="L32" s="147"/>
    </row>
    <row r="33" spans="2:20" x14ac:dyDescent="0.35">
      <c r="B33" s="144" t="s">
        <v>156</v>
      </c>
      <c r="C33" s="145">
        <f t="shared" ref="C33:E33" si="7">C28-SUM(C29:C32)</f>
        <v>111987</v>
      </c>
      <c r="D33" s="145">
        <f t="shared" si="7"/>
        <v>98601.684999999939</v>
      </c>
      <c r="E33" s="145">
        <f t="shared" si="7"/>
        <v>97789.325674999738</v>
      </c>
      <c r="F33" s="146">
        <f t="shared" ref="F33:J33" si="8">F28-SUM(F29:F32)</f>
        <v>45665.200369425002</v>
      </c>
      <c r="G33" s="146">
        <f t="shared" si="8"/>
        <v>46578.504376813537</v>
      </c>
      <c r="H33" s="146">
        <f t="shared" si="8"/>
        <v>47510.074464349775</v>
      </c>
      <c r="I33" s="146">
        <f t="shared" si="8"/>
        <v>48460.275953636854</v>
      </c>
      <c r="J33" s="146">
        <f t="shared" si="8"/>
        <v>49429.481472709449</v>
      </c>
      <c r="K33" s="179"/>
      <c r="L33" s="147" t="s">
        <v>168</v>
      </c>
    </row>
    <row r="34" spans="2:20" x14ac:dyDescent="0.35">
      <c r="B34" s="148" t="s">
        <v>166</v>
      </c>
      <c r="C34" s="145">
        <v>0</v>
      </c>
      <c r="D34" s="145">
        <v>0</v>
      </c>
      <c r="E34" s="145">
        <v>0</v>
      </c>
      <c r="F34" s="146">
        <v>0</v>
      </c>
      <c r="G34" s="146">
        <v>0</v>
      </c>
      <c r="H34" s="146">
        <v>0</v>
      </c>
      <c r="I34" s="146">
        <v>0</v>
      </c>
      <c r="J34" s="146">
        <v>0</v>
      </c>
      <c r="K34" s="179"/>
      <c r="L34" s="147"/>
    </row>
    <row r="35" spans="2:20" x14ac:dyDescent="0.35">
      <c r="B35" s="148" t="s">
        <v>35</v>
      </c>
      <c r="C35" s="145">
        <v>38561</v>
      </c>
      <c r="D35" s="145">
        <f>+C35*0.95</f>
        <v>36632.949999999997</v>
      </c>
      <c r="E35" s="145">
        <f>+D35*0.97</f>
        <v>35533.961499999998</v>
      </c>
      <c r="F35" s="146">
        <f t="shared" ref="F35:J35" si="9">+F33*$C$16</f>
        <v>13699.5601108275</v>
      </c>
      <c r="G35" s="146">
        <f t="shared" si="9"/>
        <v>13973.551313044061</v>
      </c>
      <c r="H35" s="146">
        <f t="shared" si="9"/>
        <v>14253.022339304933</v>
      </c>
      <c r="I35" s="146">
        <f t="shared" si="9"/>
        <v>14538.082786091056</v>
      </c>
      <c r="J35" s="146">
        <f t="shared" si="9"/>
        <v>14828.844441812835</v>
      </c>
      <c r="K35" s="179"/>
      <c r="L35" s="147"/>
    </row>
    <row r="36" spans="2:20" ht="15" customHeight="1" x14ac:dyDescent="0.35">
      <c r="B36" s="144" t="s">
        <v>153</v>
      </c>
      <c r="C36" s="149">
        <f>C$33-C$35</f>
        <v>73426</v>
      </c>
      <c r="D36" s="149">
        <f t="shared" ref="D36:E36" si="10">D$33-D$35</f>
        <v>61968.734999999942</v>
      </c>
      <c r="E36" s="149">
        <f t="shared" si="10"/>
        <v>62255.36417499974</v>
      </c>
      <c r="F36" s="150">
        <f t="shared" ref="F36:J36" si="11">F33-F35</f>
        <v>31965.640258597501</v>
      </c>
      <c r="G36" s="150">
        <f t="shared" si="11"/>
        <v>32604.953063769477</v>
      </c>
      <c r="H36" s="150">
        <f t="shared" si="11"/>
        <v>33257.052125044844</v>
      </c>
      <c r="I36" s="150">
        <f t="shared" si="11"/>
        <v>33922.193167545796</v>
      </c>
      <c r="J36" s="150">
        <f t="shared" si="11"/>
        <v>34600.637030896614</v>
      </c>
      <c r="K36" s="180"/>
      <c r="L36" s="147" t="s">
        <v>167</v>
      </c>
    </row>
    <row r="37" spans="2:20" ht="15" customHeight="1" x14ac:dyDescent="0.35">
      <c r="B37" s="144" t="s">
        <v>170</v>
      </c>
      <c r="C37" s="151"/>
      <c r="D37" s="151"/>
      <c r="E37" s="151"/>
      <c r="F37" s="150"/>
      <c r="G37" s="150"/>
      <c r="H37" s="150"/>
      <c r="I37" s="150"/>
      <c r="J37" s="150"/>
      <c r="K37" s="180"/>
      <c r="L37" s="147" t="s">
        <v>171</v>
      </c>
    </row>
    <row r="38" spans="2:20" x14ac:dyDescent="0.35">
      <c r="B38" s="131"/>
      <c r="C38" s="152"/>
      <c r="D38" s="152"/>
      <c r="E38" s="152"/>
      <c r="F38" s="152"/>
      <c r="G38" s="152"/>
      <c r="H38" s="152"/>
      <c r="I38" s="152"/>
      <c r="J38" s="152"/>
      <c r="K38" s="181"/>
      <c r="L38" s="140"/>
    </row>
    <row r="39" spans="2:20" x14ac:dyDescent="0.35">
      <c r="B39" s="136" t="s">
        <v>21</v>
      </c>
      <c r="C39" s="153" t="str">
        <f t="shared" ref="C39:E39" si="12">IFERROR(C28/B28-1,"")</f>
        <v/>
      </c>
      <c r="D39" s="153">
        <f t="shared" si="12"/>
        <v>3.1613248729061016E-2</v>
      </c>
      <c r="E39" s="153">
        <f t="shared" si="12"/>
        <v>4.9841053352084996E-2</v>
      </c>
      <c r="F39" s="154"/>
      <c r="G39" s="154"/>
      <c r="H39" s="154"/>
      <c r="I39" s="154"/>
      <c r="J39" s="154"/>
      <c r="K39" s="182"/>
      <c r="L39" s="140"/>
      <c r="M39" s="155"/>
      <c r="N39" s="155"/>
      <c r="O39" s="155"/>
      <c r="P39" s="155"/>
      <c r="Q39" s="155"/>
      <c r="R39" s="155"/>
      <c r="S39" s="155"/>
      <c r="T39" s="155"/>
    </row>
    <row r="40" spans="2:20" x14ac:dyDescent="0.35">
      <c r="B40" s="136" t="s">
        <v>22</v>
      </c>
      <c r="C40" s="153">
        <f t="shared" ref="C40:E43" si="13">C29/C$28</f>
        <v>0.46688785377943298</v>
      </c>
      <c r="D40" s="153">
        <f t="shared" si="13"/>
        <v>0.47068353234976418</v>
      </c>
      <c r="E40" s="153">
        <f t="shared" si="13"/>
        <v>0.46627141516401305</v>
      </c>
      <c r="F40" s="154"/>
      <c r="G40" s="154"/>
      <c r="H40" s="154"/>
      <c r="I40" s="154"/>
      <c r="J40" s="154"/>
      <c r="K40" s="182"/>
      <c r="L40" s="140"/>
      <c r="M40" s="155"/>
      <c r="N40" s="155"/>
      <c r="O40" s="155"/>
      <c r="P40" s="155"/>
      <c r="Q40" s="155"/>
      <c r="R40" s="155"/>
      <c r="S40" s="155"/>
      <c r="T40" s="155"/>
    </row>
    <row r="41" spans="2:20" x14ac:dyDescent="0.35">
      <c r="B41" s="170" t="s">
        <v>23</v>
      </c>
      <c r="C41" s="153">
        <f t="shared" si="13"/>
        <v>0.15119425316691482</v>
      </c>
      <c r="D41" s="153">
        <f t="shared" si="13"/>
        <v>0.15007844793934291</v>
      </c>
      <c r="E41" s="153">
        <f t="shared" si="13"/>
        <v>0.14630396770301363</v>
      </c>
      <c r="F41" s="154"/>
      <c r="G41" s="154"/>
      <c r="I41" s="154"/>
      <c r="J41" s="154"/>
      <c r="K41" s="182"/>
      <c r="L41" s="140"/>
      <c r="M41" s="155"/>
      <c r="N41" s="155"/>
      <c r="O41" s="155"/>
      <c r="P41" s="155"/>
      <c r="Q41" s="155"/>
      <c r="R41" s="155"/>
      <c r="S41" s="155"/>
      <c r="T41" s="155"/>
    </row>
    <row r="42" spans="2:20" x14ac:dyDescent="0.35">
      <c r="B42" s="170" t="s">
        <v>24</v>
      </c>
      <c r="C42" s="153">
        <f t="shared" si="13"/>
        <v>0.16074489175096252</v>
      </c>
      <c r="D42" s="153">
        <f t="shared" si="13"/>
        <v>0.17140084343032505</v>
      </c>
      <c r="E42" s="153">
        <f t="shared" si="13"/>
        <v>0.17958997428358961</v>
      </c>
      <c r="F42" s="154"/>
      <c r="G42" s="154"/>
      <c r="H42" s="154"/>
      <c r="I42" s="154"/>
      <c r="J42" s="154"/>
      <c r="K42" s="182"/>
      <c r="L42" s="140"/>
      <c r="M42" s="155"/>
      <c r="N42" s="155"/>
      <c r="O42" s="155"/>
      <c r="P42" s="155"/>
      <c r="Q42" s="155"/>
      <c r="R42" s="155"/>
      <c r="S42" s="155"/>
      <c r="T42" s="155"/>
    </row>
    <row r="43" spans="2:20" x14ac:dyDescent="0.35">
      <c r="B43" s="170" t="s">
        <v>25</v>
      </c>
      <c r="C43" s="153">
        <f t="shared" si="13"/>
        <v>8.5718674667463357E-2</v>
      </c>
      <c r="D43" s="153">
        <f t="shared" si="13"/>
        <v>9.2227896210224314E-2</v>
      </c>
      <c r="E43" s="153">
        <f t="shared" si="13"/>
        <v>9.8621159297821517E-2</v>
      </c>
      <c r="F43" s="154"/>
      <c r="G43" s="154"/>
      <c r="H43" s="154"/>
      <c r="I43" s="154"/>
      <c r="J43" s="154"/>
      <c r="K43" s="182"/>
      <c r="L43" s="140"/>
      <c r="M43" s="155"/>
      <c r="N43" s="155"/>
      <c r="O43" s="155"/>
      <c r="P43" s="155"/>
      <c r="Q43" s="155"/>
      <c r="R43" s="155"/>
      <c r="S43" s="155"/>
      <c r="T43" s="155"/>
    </row>
    <row r="44" spans="2:20" x14ac:dyDescent="0.35">
      <c r="B44" s="170" t="s">
        <v>36</v>
      </c>
      <c r="C44" s="153">
        <f t="shared" ref="C44:E44" si="14">+C35/C33</f>
        <v>0.34433461026726314</v>
      </c>
      <c r="D44" s="153">
        <f t="shared" si="14"/>
        <v>0.37152458398657201</v>
      </c>
      <c r="E44" s="153">
        <f t="shared" si="14"/>
        <v>0.36337259976713804</v>
      </c>
      <c r="F44" s="154"/>
      <c r="G44" s="154"/>
      <c r="H44" s="154"/>
      <c r="I44" s="154"/>
      <c r="J44" s="154"/>
      <c r="K44" s="182"/>
      <c r="L44" s="154"/>
    </row>
    <row r="45" spans="2:20" x14ac:dyDescent="0.35">
      <c r="B45" s="136" t="s">
        <v>27</v>
      </c>
      <c r="C45" s="153">
        <f t="shared" ref="C45:E45" si="15">+C36/C28</f>
        <v>8.8812713864271101E-2</v>
      </c>
      <c r="D45" s="153">
        <f t="shared" si="15"/>
        <v>7.2657590387222096E-2</v>
      </c>
      <c r="E45" s="153">
        <f t="shared" si="15"/>
        <v>6.952829610380544E-2</v>
      </c>
      <c r="F45" s="152"/>
      <c r="G45" s="152"/>
      <c r="H45" s="152"/>
      <c r="I45" s="152"/>
      <c r="J45" s="152"/>
      <c r="K45" s="181"/>
      <c r="L45" s="152"/>
    </row>
    <row r="47" spans="2:20" x14ac:dyDescent="0.35">
      <c r="B47" s="156" t="s">
        <v>157</v>
      </c>
      <c r="C47" s="157">
        <f>SUM(F36:J36)</f>
        <v>166350.47564585423</v>
      </c>
    </row>
    <row r="50" spans="1:12" s="4" customFormat="1" ht="16.5" x14ac:dyDescent="0.35">
      <c r="A50" s="3"/>
      <c r="B50" s="5" t="s">
        <v>37</v>
      </c>
      <c r="C50" s="6"/>
      <c r="D50" s="6"/>
      <c r="E50" s="6"/>
      <c r="F50" s="6"/>
      <c r="G50" s="6"/>
      <c r="H50" s="6"/>
      <c r="I50" s="6"/>
      <c r="J50" s="6"/>
      <c r="K50" s="175"/>
      <c r="L50" s="147" t="s">
        <v>211</v>
      </c>
    </row>
    <row r="52" spans="1:12" x14ac:dyDescent="0.35">
      <c r="B52" s="129" t="s">
        <v>178</v>
      </c>
    </row>
    <row r="53" spans="1:12" x14ac:dyDescent="0.35">
      <c r="B53" s="129" t="s">
        <v>179</v>
      </c>
    </row>
    <row r="54" spans="1:12" x14ac:dyDescent="0.35">
      <c r="B54" s="129"/>
    </row>
    <row r="55" spans="1:12" x14ac:dyDescent="0.35">
      <c r="B55" s="156" t="s">
        <v>158</v>
      </c>
      <c r="C55" s="158">
        <v>500000</v>
      </c>
    </row>
    <row r="56" spans="1:12" ht="16.5" thickBot="1" x14ac:dyDescent="0.4"/>
    <row r="57" spans="1:12" s="4" customFormat="1" ht="17" customHeight="1" thickBot="1" x14ac:dyDescent="0.4">
      <c r="A57" s="3"/>
      <c r="C57" s="84"/>
      <c r="D57" s="11" t="s">
        <v>38</v>
      </c>
      <c r="E57" s="12"/>
      <c r="F57" s="12"/>
      <c r="G57" s="12"/>
      <c r="H57" s="12"/>
      <c r="I57" s="12"/>
      <c r="J57" s="13"/>
      <c r="K57" s="177"/>
    </row>
    <row r="58" spans="1:12" ht="16.5" thickBot="1" x14ac:dyDescent="0.4">
      <c r="C58" s="159">
        <f>+C47</f>
        <v>166350.47564585423</v>
      </c>
      <c r="D58" s="160">
        <v>-0.02</v>
      </c>
      <c r="E58" s="160">
        <v>0</v>
      </c>
      <c r="F58" s="160">
        <v>0.02</v>
      </c>
      <c r="G58" s="160">
        <v>0.04</v>
      </c>
      <c r="H58" s="160">
        <v>0.06</v>
      </c>
      <c r="I58" s="160">
        <v>0.08</v>
      </c>
      <c r="J58" s="160">
        <v>0.1</v>
      </c>
      <c r="K58" s="183"/>
      <c r="L58" s="155"/>
    </row>
    <row r="59" spans="1:12" ht="16.5" thickTop="1" x14ac:dyDescent="0.35">
      <c r="B59" s="256" t="s">
        <v>22</v>
      </c>
      <c r="C59" s="161">
        <v>0.4</v>
      </c>
      <c r="D59" s="162">
        <f t="dataTable" ref="D59:J64" dt2D="1" dtr="1" r1="C11" r2="C12"/>
        <v>413110.98169317399</v>
      </c>
      <c r="E59" s="163">
        <v>438744.08198075008</v>
      </c>
      <c r="F59" s="163">
        <v>465781.33180839138</v>
      </c>
      <c r="G59" s="163">
        <v>494286.92961415555</v>
      </c>
      <c r="H59" s="163">
        <v>524327.12926437403</v>
      </c>
      <c r="I59" s="163">
        <v>555970.27374919865</v>
      </c>
      <c r="J59" s="163">
        <v>589286.82887814881</v>
      </c>
      <c r="K59" s="184"/>
    </row>
    <row r="60" spans="1:12" x14ac:dyDescent="0.35">
      <c r="B60" s="256"/>
      <c r="C60" s="161">
        <v>0.42000000000000004</v>
      </c>
      <c r="D60" s="164">
        <v>354095.12716557778</v>
      </c>
      <c r="E60" s="165">
        <v>376066.35598349979</v>
      </c>
      <c r="F60" s="165">
        <v>399241.14155004977</v>
      </c>
      <c r="G60" s="166">
        <v>423674.51109784748</v>
      </c>
      <c r="H60" s="166">
        <v>449423.25365517742</v>
      </c>
      <c r="I60" s="166">
        <v>476545.94892788451</v>
      </c>
      <c r="J60" s="166">
        <v>505102.9961812704</v>
      </c>
      <c r="K60" s="184"/>
    </row>
    <row r="61" spans="1:12" x14ac:dyDescent="0.35">
      <c r="B61" s="256"/>
      <c r="C61" s="161">
        <v>0.44000000000000006</v>
      </c>
      <c r="D61" s="164">
        <v>295079.27263798134</v>
      </c>
      <c r="E61" s="165">
        <v>313388.62998624967</v>
      </c>
      <c r="F61" s="165">
        <v>332700.95129170816</v>
      </c>
      <c r="G61" s="165">
        <v>353062.09258153941</v>
      </c>
      <c r="H61" s="165">
        <v>374519.37804598117</v>
      </c>
      <c r="I61" s="166">
        <v>397121.62410657021</v>
      </c>
      <c r="J61" s="166">
        <v>420919.16348439199</v>
      </c>
      <c r="K61" s="184"/>
    </row>
    <row r="62" spans="1:12" x14ac:dyDescent="0.35">
      <c r="B62" s="256"/>
      <c r="C62" s="161">
        <v>0.46000000000000008</v>
      </c>
      <c r="D62" s="164">
        <v>236063.4181103849</v>
      </c>
      <c r="E62" s="165">
        <v>250710.90398899949</v>
      </c>
      <c r="F62" s="165">
        <v>266160.76103336626</v>
      </c>
      <c r="G62" s="165">
        <v>282449.67406523152</v>
      </c>
      <c r="H62" s="165">
        <v>299615.50243678474</v>
      </c>
      <c r="I62" s="165">
        <v>317697.29928525601</v>
      </c>
      <c r="J62" s="165">
        <v>336735.33078751364</v>
      </c>
      <c r="K62" s="184"/>
    </row>
    <row r="63" spans="1:12" x14ac:dyDescent="0.35">
      <c r="B63" s="256"/>
      <c r="C63" s="161">
        <v>0.48000000000000009</v>
      </c>
      <c r="D63" s="164">
        <v>177047.56358278863</v>
      </c>
      <c r="E63" s="165">
        <v>188033.17799174931</v>
      </c>
      <c r="F63" s="165">
        <v>199620.57077502462</v>
      </c>
      <c r="G63" s="165">
        <v>211837.25554892342</v>
      </c>
      <c r="H63" s="165">
        <v>224711.62682758836</v>
      </c>
      <c r="I63" s="165">
        <v>238272.97446394188</v>
      </c>
      <c r="J63" s="165">
        <v>252551.49809063482</v>
      </c>
      <c r="K63" s="184"/>
    </row>
    <row r="64" spans="1:12" x14ac:dyDescent="0.35">
      <c r="B64" s="256"/>
      <c r="C64" s="161">
        <v>0.50000000000000011</v>
      </c>
      <c r="D64" s="164">
        <v>118031.70905519213</v>
      </c>
      <c r="E64" s="165">
        <v>125355.45199449913</v>
      </c>
      <c r="F64" s="165">
        <v>133080.38051668287</v>
      </c>
      <c r="G64" s="165">
        <v>141224.8370326155</v>
      </c>
      <c r="H64" s="165">
        <v>149807.75121839208</v>
      </c>
      <c r="I64" s="165">
        <v>158848.6496426278</v>
      </c>
      <c r="J64" s="165">
        <v>168367.66539375653</v>
      </c>
      <c r="K64" s="184"/>
    </row>
    <row r="65" spans="2:11" x14ac:dyDescent="0.35">
      <c r="B65" s="167"/>
      <c r="C65" s="168"/>
      <c r="D65" s="169"/>
      <c r="E65" s="169"/>
      <c r="F65" s="169"/>
      <c r="G65" s="169"/>
      <c r="H65" s="169"/>
      <c r="I65" s="169"/>
      <c r="J65" s="169"/>
      <c r="K65" s="185"/>
    </row>
  </sheetData>
  <mergeCells count="2">
    <mergeCell ref="B59:B64"/>
    <mergeCell ref="L28:N31"/>
  </mergeCells>
  <conditionalFormatting sqref="D59:K64">
    <cfRule type="expression" dxfId="0" priority="1">
      <formula>D59&gt;$C$55</formula>
    </cfRule>
  </conditionalFormatting>
  <dataValidations disablePrompts="1" count="1">
    <dataValidation type="list" allowBlank="1" showInputMessage="1" showErrorMessage="1" sqref="C8" xr:uid="{AE0280F0-5696-49F4-BF76-B089B3B4C757}">
      <formula1>"1,2,3"</formula1>
    </dataValidation>
  </dataValidations>
  <pageMargins left="0.5" right="0.5" top="0.5" bottom="0.5" header="0.3" footer="0.3"/>
  <pageSetup scale="87" fitToHeight="0" orientation="landscape" verticalDpi="1200" r:id="rId1"/>
  <rowBreaks count="2" manualBreakCount="2">
    <brk id="18" min="1" max="12" man="1"/>
    <brk id="49" min="1" max="12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CE399-BC2B-43A3-B0E1-08498B02F3FA}">
  <sheetPr codeName="Sheet13">
    <tabColor rgb="FF002060"/>
  </sheetPr>
  <dimension ref="A1:S18"/>
  <sheetViews>
    <sheetView showGridLines="0" zoomScale="80" zoomScaleNormal="80" zoomScaleSheetLayoutView="100" workbookViewId="0">
      <selection activeCell="K33" sqref="K33"/>
    </sheetView>
  </sheetViews>
  <sheetFormatPr defaultColWidth="9.36328125" defaultRowHeight="16.5" x14ac:dyDescent="0.45"/>
  <cols>
    <col min="1" max="1" width="3.6328125" style="20" customWidth="1"/>
    <col min="2" max="2" width="17.08984375" style="20" customWidth="1"/>
    <col min="3" max="19" width="15" style="20" customWidth="1"/>
    <col min="20" max="16384" width="9.36328125" style="20"/>
  </cols>
  <sheetData>
    <row r="1" spans="1:19" s="19" customFormat="1" ht="23" thickBot="1" x14ac:dyDescent="0.4">
      <c r="A1" s="15"/>
      <c r="B1" s="16" t="s">
        <v>149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7"/>
      <c r="O1" s="17"/>
      <c r="P1" s="18"/>
      <c r="Q1" s="18"/>
      <c r="R1" s="18"/>
      <c r="S1" s="18"/>
    </row>
    <row r="2" spans="1:19" ht="17" thickTop="1" x14ac:dyDescent="0.45"/>
    <row r="3" spans="1:19" s="21" customFormat="1" ht="18" x14ac:dyDescent="0.6">
      <c r="B3" s="22"/>
      <c r="C3" s="23" t="s">
        <v>39</v>
      </c>
      <c r="D3" s="22"/>
      <c r="E3" s="23" t="s">
        <v>40</v>
      </c>
      <c r="F3" s="23" t="s">
        <v>41</v>
      </c>
      <c r="G3" s="23" t="s">
        <v>42</v>
      </c>
    </row>
    <row r="4" spans="1:19" x14ac:dyDescent="0.45">
      <c r="B4" s="24" t="s">
        <v>21</v>
      </c>
      <c r="C4" s="25">
        <v>0.05</v>
      </c>
      <c r="D4" s="26"/>
      <c r="E4" s="25">
        <v>0.05</v>
      </c>
      <c r="F4" s="25">
        <v>0.05</v>
      </c>
      <c r="G4" s="25">
        <v>-0.01</v>
      </c>
    </row>
    <row r="5" spans="1:19" x14ac:dyDescent="0.45">
      <c r="B5" s="24" t="s">
        <v>43</v>
      </c>
      <c r="C5" s="25">
        <v>0.2</v>
      </c>
      <c r="D5" s="26"/>
      <c r="E5" s="25">
        <v>0.2</v>
      </c>
      <c r="F5" s="25">
        <v>0.2</v>
      </c>
      <c r="G5" s="25">
        <v>0.1</v>
      </c>
    </row>
    <row r="6" spans="1:19" x14ac:dyDescent="0.45">
      <c r="B6" s="24" t="s">
        <v>44</v>
      </c>
      <c r="C6" s="27">
        <v>12</v>
      </c>
      <c r="D6" s="26"/>
      <c r="E6" s="27">
        <v>12</v>
      </c>
      <c r="F6" s="27">
        <v>18</v>
      </c>
      <c r="G6" s="27">
        <v>12</v>
      </c>
    </row>
    <row r="7" spans="1:19" x14ac:dyDescent="0.45">
      <c r="B7" s="28"/>
      <c r="C7" s="29"/>
    </row>
    <row r="9" spans="1:19" s="21" customFormat="1" ht="18" x14ac:dyDescent="0.6">
      <c r="B9" s="30"/>
      <c r="C9" s="23" t="s">
        <v>45</v>
      </c>
      <c r="D9" s="258" t="s">
        <v>46</v>
      </c>
      <c r="E9" s="258"/>
      <c r="F9" s="258"/>
      <c r="G9" s="258"/>
      <c r="H9" s="258"/>
    </row>
    <row r="10" spans="1:19" ht="18" x14ac:dyDescent="0.6">
      <c r="B10" s="26"/>
      <c r="C10" s="200">
        <v>2018</v>
      </c>
      <c r="D10" s="200">
        <f t="shared" ref="D10:H10" si="0">C10+1</f>
        <v>2019</v>
      </c>
      <c r="E10" s="200">
        <f t="shared" si="0"/>
        <v>2020</v>
      </c>
      <c r="F10" s="200">
        <f t="shared" si="0"/>
        <v>2021</v>
      </c>
      <c r="G10" s="200">
        <f t="shared" si="0"/>
        <v>2022</v>
      </c>
      <c r="H10" s="200">
        <f t="shared" si="0"/>
        <v>2023</v>
      </c>
    </row>
    <row r="11" spans="1:19" x14ac:dyDescent="0.45">
      <c r="B11" s="24" t="s">
        <v>31</v>
      </c>
      <c r="C11" s="31">
        <v>5000000</v>
      </c>
      <c r="D11" s="32">
        <f t="shared" ref="D11:H11" si="1">C11*(1+$C$4)</f>
        <v>5250000</v>
      </c>
      <c r="E11" s="32">
        <f t="shared" si="1"/>
        <v>5512500</v>
      </c>
      <c r="F11" s="32">
        <f t="shared" si="1"/>
        <v>5788125</v>
      </c>
      <c r="G11" s="32">
        <f t="shared" si="1"/>
        <v>6077531.25</v>
      </c>
      <c r="H11" s="32">
        <f t="shared" si="1"/>
        <v>6381407.8125</v>
      </c>
    </row>
    <row r="12" spans="1:19" x14ac:dyDescent="0.45">
      <c r="B12" s="24" t="s">
        <v>47</v>
      </c>
      <c r="C12" s="31">
        <v>4200000</v>
      </c>
      <c r="D12" s="32">
        <f t="shared" ref="D12:H12" si="2">D11-D13</f>
        <v>4200000</v>
      </c>
      <c r="E12" s="32">
        <f t="shared" si="2"/>
        <v>4410000</v>
      </c>
      <c r="F12" s="32">
        <f t="shared" si="2"/>
        <v>4630500</v>
      </c>
      <c r="G12" s="32">
        <f t="shared" si="2"/>
        <v>4862025</v>
      </c>
      <c r="H12" s="32">
        <f t="shared" si="2"/>
        <v>5105126.25</v>
      </c>
    </row>
    <row r="13" spans="1:19" x14ac:dyDescent="0.45">
      <c r="B13" s="24" t="s">
        <v>48</v>
      </c>
      <c r="C13" s="31">
        <f>C11-C12</f>
        <v>800000</v>
      </c>
      <c r="D13" s="32">
        <f t="shared" ref="D13:H13" si="3">D14*D11</f>
        <v>1050000</v>
      </c>
      <c r="E13" s="32">
        <f t="shared" si="3"/>
        <v>1102500</v>
      </c>
      <c r="F13" s="32">
        <f t="shared" si="3"/>
        <v>1157625</v>
      </c>
      <c r="G13" s="32">
        <f t="shared" si="3"/>
        <v>1215506.25</v>
      </c>
      <c r="H13" s="32">
        <f t="shared" si="3"/>
        <v>1276281.5625</v>
      </c>
    </row>
    <row r="14" spans="1:19" x14ac:dyDescent="0.45">
      <c r="B14" s="24" t="s">
        <v>43</v>
      </c>
      <c r="C14" s="33">
        <f>+C13/C11</f>
        <v>0.16</v>
      </c>
      <c r="D14" s="34">
        <f t="shared" ref="D14:H14" si="4">$C$5</f>
        <v>0.2</v>
      </c>
      <c r="E14" s="34">
        <f t="shared" si="4"/>
        <v>0.2</v>
      </c>
      <c r="F14" s="34">
        <f t="shared" si="4"/>
        <v>0.2</v>
      </c>
      <c r="G14" s="34">
        <f t="shared" si="4"/>
        <v>0.2</v>
      </c>
      <c r="H14" s="34">
        <f t="shared" si="4"/>
        <v>0.2</v>
      </c>
    </row>
    <row r="15" spans="1:19" ht="17" thickBot="1" x14ac:dyDescent="0.5">
      <c r="B15" s="28"/>
    </row>
    <row r="16" spans="1:19" ht="17" thickBot="1" x14ac:dyDescent="0.5">
      <c r="B16" s="187" t="s">
        <v>49</v>
      </c>
      <c r="C16" s="188">
        <f>H13*C6</f>
        <v>15315378.75</v>
      </c>
    </row>
    <row r="18" spans="2:2" x14ac:dyDescent="0.45">
      <c r="B18" s="20" t="s">
        <v>50</v>
      </c>
    </row>
  </sheetData>
  <scenarios current="0">
    <scenario name="Base" locked="1" count="3" user="John Doe" comment="_x000a_Modified by John Doe on 11/4/2019">
      <inputCells r="E4" val="0.05" numFmtId="170"/>
      <inputCells r="E5" val="0.2" numFmtId="170"/>
      <inputCells r="E6" val="12" numFmtId="175"/>
    </scenario>
    <scenario name="Best " locked="1" count="3" user="John Doe">
      <inputCells r="F4" val="0.05" numFmtId="170"/>
      <inputCells r="F5" val="0.2" numFmtId="170"/>
      <inputCells r="F6" val="18" numFmtId="175"/>
    </scenario>
    <scenario name="Worse" locked="1" count="3" user="John Doe">
      <inputCells r="G4" val="-0.01" numFmtId="170"/>
      <inputCells r="G5" val="0.1" numFmtId="170"/>
      <inputCells r="G6" val="12" numFmtId="175"/>
    </scenario>
  </scenarios>
  <mergeCells count="1">
    <mergeCell ref="D9:H9"/>
  </mergeCells>
  <pageMargins left="0.7" right="0.7" top="0.75" bottom="0.75" header="0.3" footer="0.3"/>
  <pageSetup scale="31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5322E-F445-4D39-B592-729FA39E2BCC}">
  <sheetPr codeName="Sheet20">
    <tabColor rgb="FF002060"/>
  </sheetPr>
  <dimension ref="B1:M53"/>
  <sheetViews>
    <sheetView showGridLines="0" topLeftCell="A3" zoomScale="80" zoomScaleNormal="80" zoomScaleSheetLayoutView="100" workbookViewId="0">
      <selection activeCell="I32" sqref="I32"/>
    </sheetView>
  </sheetViews>
  <sheetFormatPr defaultColWidth="8.6328125" defaultRowHeight="16.5" outlineLevelRow="1" x14ac:dyDescent="0.45"/>
  <cols>
    <col min="1" max="1" width="3.6328125" style="39" customWidth="1"/>
    <col min="2" max="13" width="13" style="39" customWidth="1"/>
    <col min="14" max="16384" width="8.6328125" style="39"/>
  </cols>
  <sheetData>
    <row r="1" spans="2:13" s="35" customFormat="1" ht="23" thickBot="1" x14ac:dyDescent="0.4">
      <c r="B1" s="36" t="s">
        <v>151</v>
      </c>
      <c r="C1" s="36"/>
      <c r="D1" s="36"/>
      <c r="E1" s="36"/>
      <c r="F1" s="36"/>
      <c r="G1" s="36"/>
      <c r="H1" s="36"/>
      <c r="I1" s="36"/>
      <c r="J1" s="36"/>
      <c r="K1" s="36"/>
      <c r="L1" s="36"/>
      <c r="M1" s="37"/>
    </row>
    <row r="2" spans="2:13" ht="17" thickTop="1" x14ac:dyDescent="0.45">
      <c r="B2" s="39" t="s">
        <v>79</v>
      </c>
    </row>
    <row r="4" spans="2:13" s="70" customFormat="1" x14ac:dyDescent="0.45">
      <c r="B4" s="217" t="s">
        <v>80</v>
      </c>
      <c r="C4" s="217"/>
      <c r="D4" s="217"/>
      <c r="E4" s="217"/>
      <c r="F4" s="217"/>
      <c r="G4" s="217"/>
      <c r="H4" s="217"/>
      <c r="I4" s="217"/>
      <c r="J4" s="217"/>
      <c r="K4" s="217"/>
    </row>
    <row r="6" spans="2:13" x14ac:dyDescent="0.45">
      <c r="B6" s="39" t="s">
        <v>81</v>
      </c>
    </row>
    <row r="8" spans="2:13" x14ac:dyDescent="0.45">
      <c r="B8" s="39" t="s">
        <v>82</v>
      </c>
      <c r="K8" s="60"/>
    </row>
    <row r="9" spans="2:13" x14ac:dyDescent="0.45">
      <c r="K9" s="60"/>
    </row>
    <row r="10" spans="2:13" x14ac:dyDescent="0.45">
      <c r="B10" s="61"/>
    </row>
    <row r="11" spans="2:13" x14ac:dyDescent="0.45">
      <c r="B11" s="219" t="s">
        <v>186</v>
      </c>
      <c r="C11" s="218" t="s">
        <v>185</v>
      </c>
      <c r="D11" s="218"/>
      <c r="E11" s="218"/>
      <c r="F11" s="218"/>
      <c r="G11" s="218"/>
      <c r="H11" s="218"/>
      <c r="I11" s="218"/>
      <c r="J11" s="218"/>
    </row>
    <row r="13" spans="2:13" ht="18" x14ac:dyDescent="0.6">
      <c r="B13" s="62"/>
      <c r="C13" s="213" t="s">
        <v>83</v>
      </c>
      <c r="D13" s="213" t="s">
        <v>84</v>
      </c>
      <c r="E13" s="213" t="s">
        <v>85</v>
      </c>
      <c r="F13" s="213" t="s">
        <v>86</v>
      </c>
      <c r="G13" s="213" t="s">
        <v>87</v>
      </c>
      <c r="H13" s="213" t="s">
        <v>88</v>
      </c>
      <c r="I13" s="63"/>
    </row>
    <row r="14" spans="2:13" x14ac:dyDescent="0.45">
      <c r="C14" s="207">
        <f>NPV(D14,F14:H14)+E14</f>
        <v>1151.3899323816672</v>
      </c>
      <c r="D14" s="208">
        <v>0.1</v>
      </c>
      <c r="E14" s="209">
        <v>-2500</v>
      </c>
      <c r="F14" s="210">
        <v>1000</v>
      </c>
      <c r="G14" s="210">
        <v>1500</v>
      </c>
      <c r="H14" s="209">
        <v>2000</v>
      </c>
    </row>
    <row r="15" spans="2:13" outlineLevel="1" x14ac:dyDescent="0.45">
      <c r="C15" s="211">
        <f>NPV(D14,F14:H14)+E14</f>
        <v>1151.3899323816672</v>
      </c>
      <c r="D15" s="208"/>
      <c r="E15" s="209"/>
      <c r="F15" s="210"/>
      <c r="G15" s="210"/>
      <c r="H15" s="209"/>
    </row>
    <row r="16" spans="2:13" ht="18" x14ac:dyDescent="0.6">
      <c r="B16" s="65"/>
      <c r="C16" s="206" t="s">
        <v>83</v>
      </c>
      <c r="D16" s="206" t="s">
        <v>84</v>
      </c>
      <c r="E16" s="212">
        <v>0</v>
      </c>
      <c r="F16" s="212">
        <v>1</v>
      </c>
      <c r="G16" s="212">
        <v>2</v>
      </c>
      <c r="H16" s="212">
        <v>3</v>
      </c>
    </row>
    <row r="17" spans="2:11" x14ac:dyDescent="0.45">
      <c r="B17" s="65"/>
      <c r="C17" s="66"/>
      <c r="D17" s="214">
        <v>0.1</v>
      </c>
      <c r="E17" s="215">
        <v>-2500</v>
      </c>
      <c r="F17" s="216">
        <v>1000</v>
      </c>
      <c r="G17" s="216">
        <v>1500</v>
      </c>
      <c r="H17" s="215">
        <v>2000</v>
      </c>
    </row>
    <row r="18" spans="2:11" x14ac:dyDescent="0.45">
      <c r="B18" s="65"/>
      <c r="C18" s="65"/>
      <c r="D18" s="68"/>
      <c r="F18" s="69">
        <f>E17/(1+$D17)^E16</f>
        <v>-2500</v>
      </c>
      <c r="G18" s="69">
        <f t="shared" ref="G18:H18" si="0">F17/(1+$D17)^F16</f>
        <v>909.09090909090901</v>
      </c>
      <c r="H18" s="69">
        <f t="shared" si="0"/>
        <v>1239.6694214876031</v>
      </c>
      <c r="I18" s="40" t="s">
        <v>76</v>
      </c>
    </row>
    <row r="19" spans="2:11" outlineLevel="1" x14ac:dyDescent="0.45">
      <c r="B19" s="65"/>
      <c r="C19" s="64">
        <f>SUM(E19:H19)</f>
        <v>1151.3899323816672</v>
      </c>
      <c r="D19" s="68"/>
      <c r="E19" s="69">
        <f>E$17/(1+$D$17)^E$16</f>
        <v>-2500</v>
      </c>
      <c r="F19" s="69">
        <f>F$17/(1+$D$17)^F$16</f>
        <v>909.09090909090901</v>
      </c>
      <c r="G19" s="69">
        <f>G$17/(1+$D$17)^G$16</f>
        <v>1239.6694214876031</v>
      </c>
      <c r="H19" s="69">
        <f>H$17/(1+$D$17)^H$16</f>
        <v>1502.6296018031551</v>
      </c>
    </row>
    <row r="20" spans="2:11" x14ac:dyDescent="0.45">
      <c r="B20" s="65"/>
    </row>
    <row r="21" spans="2:11" s="70" customFormat="1" x14ac:dyDescent="0.45">
      <c r="B21" s="217" t="s">
        <v>78</v>
      </c>
      <c r="C21" s="217"/>
      <c r="D21" s="217"/>
      <c r="E21" s="217"/>
      <c r="F21" s="217"/>
      <c r="G21" s="217"/>
      <c r="H21" s="217"/>
      <c r="I21" s="217"/>
      <c r="J21" s="217"/>
      <c r="K21" s="217"/>
    </row>
    <row r="22" spans="2:11" x14ac:dyDescent="0.45">
      <c r="B22" s="60" t="s">
        <v>89</v>
      </c>
    </row>
    <row r="23" spans="2:11" x14ac:dyDescent="0.45">
      <c r="B23" s="71" t="s">
        <v>159</v>
      </c>
    </row>
    <row r="24" spans="2:11" x14ac:dyDescent="0.45">
      <c r="B24" s="71"/>
    </row>
    <row r="25" spans="2:11" x14ac:dyDescent="0.45">
      <c r="B25" s="72" t="s">
        <v>160</v>
      </c>
      <c r="C25" s="39" t="s">
        <v>90</v>
      </c>
    </row>
    <row r="26" spans="2:11" x14ac:dyDescent="0.45">
      <c r="B26" s="72" t="s">
        <v>161</v>
      </c>
      <c r="C26" s="39" t="s">
        <v>91</v>
      </c>
    </row>
    <row r="28" spans="2:11" x14ac:dyDescent="0.45">
      <c r="C28" s="39" t="s">
        <v>92</v>
      </c>
    </row>
    <row r="29" spans="2:11" x14ac:dyDescent="0.45">
      <c r="C29" s="20" t="s">
        <v>93</v>
      </c>
    </row>
    <row r="30" spans="2:11" x14ac:dyDescent="0.45">
      <c r="C30" s="73" t="s">
        <v>94</v>
      </c>
    </row>
    <row r="31" spans="2:11" x14ac:dyDescent="0.45">
      <c r="C31" s="74" t="s">
        <v>95</v>
      </c>
    </row>
    <row r="32" spans="2:11" x14ac:dyDescent="0.45">
      <c r="C32" s="74"/>
    </row>
    <row r="33" spans="2:11" x14ac:dyDescent="0.45">
      <c r="C33" s="39" t="s">
        <v>96</v>
      </c>
    </row>
    <row r="34" spans="2:11" x14ac:dyDescent="0.45">
      <c r="C34" s="20" t="s">
        <v>97</v>
      </c>
    </row>
    <row r="35" spans="2:11" x14ac:dyDescent="0.45">
      <c r="C35" s="73" t="s">
        <v>98</v>
      </c>
    </row>
    <row r="36" spans="2:11" x14ac:dyDescent="0.45">
      <c r="C36" s="74" t="s">
        <v>99</v>
      </c>
    </row>
    <row r="39" spans="2:11" s="70" customFormat="1" x14ac:dyDescent="0.45">
      <c r="B39" s="217" t="s">
        <v>100</v>
      </c>
      <c r="C39" s="217"/>
      <c r="D39" s="217"/>
      <c r="E39" s="217"/>
      <c r="F39" s="217"/>
      <c r="G39" s="217"/>
      <c r="H39" s="217"/>
      <c r="I39" s="217"/>
      <c r="J39" s="217"/>
      <c r="K39" s="217"/>
    </row>
    <row r="41" spans="2:11" x14ac:dyDescent="0.45">
      <c r="B41" s="39" t="s">
        <v>101</v>
      </c>
    </row>
    <row r="42" spans="2:11" x14ac:dyDescent="0.45">
      <c r="B42" s="60" t="s">
        <v>102</v>
      </c>
    </row>
    <row r="43" spans="2:11" x14ac:dyDescent="0.45">
      <c r="B43" s="71" t="s">
        <v>162</v>
      </c>
    </row>
    <row r="45" spans="2:11" x14ac:dyDescent="0.45">
      <c r="B45" s="72" t="s">
        <v>160</v>
      </c>
      <c r="C45" s="39" t="s">
        <v>103</v>
      </c>
    </row>
    <row r="46" spans="2:11" x14ac:dyDescent="0.45">
      <c r="B46" s="72" t="s">
        <v>161</v>
      </c>
      <c r="C46" s="39" t="s">
        <v>91</v>
      </c>
    </row>
    <row r="47" spans="2:11" x14ac:dyDescent="0.45">
      <c r="B47" s="75" t="s">
        <v>104</v>
      </c>
      <c r="C47" s="39" t="s">
        <v>105</v>
      </c>
    </row>
    <row r="48" spans="2:11" x14ac:dyDescent="0.45">
      <c r="B48" s="75"/>
    </row>
    <row r="49" spans="2:9" x14ac:dyDescent="0.45">
      <c r="B49" s="219" t="s">
        <v>187</v>
      </c>
      <c r="C49" s="220" t="s">
        <v>188</v>
      </c>
      <c r="D49" s="220"/>
      <c r="E49" s="220"/>
      <c r="F49" s="220"/>
      <c r="G49" s="220"/>
      <c r="H49" s="220"/>
      <c r="I49" s="220"/>
    </row>
    <row r="51" spans="2:9" ht="18" x14ac:dyDescent="0.6">
      <c r="C51" s="213" t="s">
        <v>101</v>
      </c>
      <c r="D51" s="213" t="s">
        <v>84</v>
      </c>
      <c r="E51" s="224">
        <f ca="1">TODAY()</f>
        <v>44966</v>
      </c>
      <c r="F51" s="224">
        <f ca="1">TODAY()+200</f>
        <v>45166</v>
      </c>
      <c r="G51" s="224">
        <f ca="1">TODAY()+400</f>
        <v>45366</v>
      </c>
      <c r="H51" s="224">
        <f ca="1">TODAY()+600</f>
        <v>45566</v>
      </c>
    </row>
    <row r="52" spans="2:9" x14ac:dyDescent="0.45">
      <c r="C52" s="211">
        <f ca="1">XNPV(D52,E52:H52,E51:H51)</f>
        <v>1510.3109555229335</v>
      </c>
      <c r="D52" s="221">
        <v>0.1</v>
      </c>
      <c r="E52" s="222">
        <v>-2500</v>
      </c>
      <c r="F52" s="222">
        <v>1000</v>
      </c>
      <c r="G52" s="222">
        <v>1500</v>
      </c>
      <c r="H52" s="222">
        <v>2000</v>
      </c>
    </row>
    <row r="53" spans="2:9" outlineLevel="1" x14ac:dyDescent="0.45">
      <c r="C53" s="64">
        <f ca="1">XNPV(D52,E52:H52,E51:H51)</f>
        <v>1510.3109555229335</v>
      </c>
      <c r="D53" s="77"/>
      <c r="E53" s="67"/>
      <c r="F53" s="67"/>
      <c r="G53" s="67"/>
      <c r="H53" s="67"/>
    </row>
  </sheetData>
  <pageMargins left="0.7" right="0.7" top="0.75" bottom="0.75" header="0.3" footer="0.3"/>
  <pageSetup scale="51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2B65E-D065-489A-ADB3-67E6BA098D98}">
  <sheetPr>
    <tabColor rgb="FF002060"/>
  </sheetPr>
  <dimension ref="B1:L71"/>
  <sheetViews>
    <sheetView showGridLines="0" topLeftCell="A33" zoomScale="80" zoomScaleNormal="80" zoomScaleSheetLayoutView="100" workbookViewId="0">
      <selection activeCell="F78" sqref="F78"/>
    </sheetView>
  </sheetViews>
  <sheetFormatPr defaultColWidth="8.6328125" defaultRowHeight="16.5" outlineLevelRow="1" x14ac:dyDescent="0.45"/>
  <cols>
    <col min="1" max="1" width="3.6328125" style="39" customWidth="1"/>
    <col min="2" max="2" width="38.90625" style="39" bestFit="1" customWidth="1"/>
    <col min="3" max="3" width="24.81640625" style="39" customWidth="1"/>
    <col min="4" max="12" width="13.453125" style="39" customWidth="1"/>
    <col min="13" max="16384" width="8.6328125" style="39"/>
  </cols>
  <sheetData>
    <row r="1" spans="2:12" s="35" customFormat="1" ht="23" thickBot="1" x14ac:dyDescent="0.4">
      <c r="B1" s="36" t="s">
        <v>152</v>
      </c>
      <c r="C1" s="36"/>
      <c r="D1" s="36"/>
      <c r="E1" s="36"/>
      <c r="F1" s="36"/>
      <c r="G1" s="36"/>
      <c r="H1" s="36"/>
      <c r="I1" s="36"/>
      <c r="J1" s="36"/>
      <c r="K1" s="36"/>
      <c r="L1" s="37"/>
    </row>
    <row r="2" spans="2:12" ht="17" thickTop="1" x14ac:dyDescent="0.45">
      <c r="B2" s="39" t="s">
        <v>147</v>
      </c>
    </row>
    <row r="4" spans="2:12" s="70" customFormat="1" x14ac:dyDescent="0.45">
      <c r="B4" s="217" t="s">
        <v>146</v>
      </c>
      <c r="C4" s="217"/>
      <c r="D4" s="217"/>
      <c r="E4" s="217"/>
      <c r="F4" s="217"/>
      <c r="G4" s="217"/>
      <c r="H4" s="217"/>
      <c r="I4" s="217"/>
      <c r="J4" s="217"/>
      <c r="K4" s="217"/>
    </row>
    <row r="6" spans="2:12" x14ac:dyDescent="0.45">
      <c r="B6" s="39" t="s">
        <v>145</v>
      </c>
    </row>
    <row r="7" spans="2:12" x14ac:dyDescent="0.45">
      <c r="B7" s="71" t="s">
        <v>144</v>
      </c>
    </row>
    <row r="9" spans="2:12" x14ac:dyDescent="0.45">
      <c r="B9" s="220" t="s">
        <v>189</v>
      </c>
      <c r="C9" s="220"/>
    </row>
    <row r="11" spans="2:12" x14ac:dyDescent="0.45">
      <c r="C11" s="21" t="s">
        <v>143</v>
      </c>
    </row>
    <row r="12" spans="2:12" ht="18" x14ac:dyDescent="0.6">
      <c r="B12" s="23" t="s">
        <v>83</v>
      </c>
      <c r="C12" s="23" t="s">
        <v>84</v>
      </c>
      <c r="D12" s="23" t="s">
        <v>85</v>
      </c>
      <c r="E12" s="23" t="s">
        <v>86</v>
      </c>
      <c r="F12" s="23" t="s">
        <v>87</v>
      </c>
      <c r="G12" s="23" t="s">
        <v>88</v>
      </c>
    </row>
    <row r="13" spans="2:12" x14ac:dyDescent="0.45">
      <c r="B13" s="225">
        <f>NPV(C13,E13:G13)+D13</f>
        <v>1151.3899323816672</v>
      </c>
      <c r="C13" s="226">
        <v>0.1</v>
      </c>
      <c r="D13" s="222">
        <v>-2500</v>
      </c>
      <c r="E13" s="227">
        <v>1000</v>
      </c>
      <c r="F13" s="227">
        <v>1500</v>
      </c>
      <c r="G13" s="222">
        <v>2000</v>
      </c>
    </row>
    <row r="14" spans="2:12" outlineLevel="1" x14ac:dyDescent="0.45">
      <c r="B14" s="64">
        <f>NPV(C13,E13:G13)+D13</f>
        <v>1151.3899323816672</v>
      </c>
    </row>
    <row r="16" spans="2:12" s="70" customFormat="1" x14ac:dyDescent="0.45">
      <c r="B16" s="217" t="s">
        <v>142</v>
      </c>
      <c r="C16" s="217"/>
      <c r="D16" s="217"/>
      <c r="E16" s="217"/>
      <c r="F16" s="217"/>
      <c r="G16" s="217"/>
      <c r="H16" s="217"/>
      <c r="I16" s="217"/>
      <c r="J16" s="217"/>
      <c r="K16" s="217"/>
    </row>
    <row r="18" spans="2:11" x14ac:dyDescent="0.45">
      <c r="B18" s="71" t="s">
        <v>163</v>
      </c>
    </row>
    <row r="20" spans="2:11" x14ac:dyDescent="0.45">
      <c r="B20" s="72" t="s">
        <v>161</v>
      </c>
      <c r="C20" s="39" t="s">
        <v>141</v>
      </c>
    </row>
    <row r="21" spans="2:11" x14ac:dyDescent="0.45">
      <c r="B21" s="72" t="s">
        <v>164</v>
      </c>
      <c r="C21" s="39" t="s">
        <v>140</v>
      </c>
    </row>
    <row r="23" spans="2:11" x14ac:dyDescent="0.45">
      <c r="B23" s="62"/>
      <c r="C23" s="228" t="s">
        <v>190</v>
      </c>
    </row>
    <row r="25" spans="2:11" ht="18" x14ac:dyDescent="0.6">
      <c r="C25" s="213" t="s">
        <v>85</v>
      </c>
      <c r="D25" s="213" t="s">
        <v>86</v>
      </c>
      <c r="E25" s="213" t="s">
        <v>87</v>
      </c>
      <c r="F25" s="213" t="s">
        <v>88</v>
      </c>
      <c r="G25" s="213" t="s">
        <v>137</v>
      </c>
    </row>
    <row r="26" spans="2:11" x14ac:dyDescent="0.45">
      <c r="C26" s="222">
        <v>-5000</v>
      </c>
      <c r="D26" s="222">
        <v>2000</v>
      </c>
      <c r="E26" s="222">
        <v>2500</v>
      </c>
      <c r="F26" s="222">
        <v>3000</v>
      </c>
      <c r="G26" s="229">
        <f>IRR(C26:F26)</f>
        <v>0.21647785418428866</v>
      </c>
    </row>
    <row r="28" spans="2:11" ht="18" outlineLevel="1" x14ac:dyDescent="0.6">
      <c r="B28" s="39" t="s">
        <v>139</v>
      </c>
      <c r="J28" s="63" t="s">
        <v>138</v>
      </c>
      <c r="K28" s="63" t="s">
        <v>137</v>
      </c>
    </row>
    <row r="29" spans="2:11" outlineLevel="1" x14ac:dyDescent="0.45">
      <c r="B29" s="71" t="s">
        <v>136</v>
      </c>
      <c r="J29" s="39">
        <v>-0.9</v>
      </c>
      <c r="K29" s="79"/>
    </row>
    <row r="30" spans="2:11" outlineLevel="1" x14ac:dyDescent="0.45">
      <c r="J30" s="39">
        <v>-0.7</v>
      </c>
      <c r="K30" s="79"/>
    </row>
    <row r="31" spans="2:11" outlineLevel="1" x14ac:dyDescent="0.45">
      <c r="B31" s="65" t="s">
        <v>135</v>
      </c>
      <c r="J31" s="39">
        <v>-0.5</v>
      </c>
      <c r="K31" s="79"/>
    </row>
    <row r="32" spans="2:11" outlineLevel="1" x14ac:dyDescent="0.45">
      <c r="B32" s="71" t="s">
        <v>134</v>
      </c>
      <c r="J32" s="39">
        <v>-0.29999999999999993</v>
      </c>
      <c r="K32" s="79"/>
    </row>
    <row r="33" spans="2:11" outlineLevel="1" x14ac:dyDescent="0.45">
      <c r="B33" s="71" t="s">
        <v>133</v>
      </c>
      <c r="J33" s="39">
        <v>-9.9999999999999978E-2</v>
      </c>
      <c r="K33" s="79"/>
    </row>
    <row r="34" spans="2:11" outlineLevel="1" x14ac:dyDescent="0.45">
      <c r="B34" s="71" t="s">
        <v>132</v>
      </c>
      <c r="J34" s="39">
        <v>9.9999999999999978E-2</v>
      </c>
      <c r="K34" s="79"/>
    </row>
    <row r="35" spans="2:11" outlineLevel="1" x14ac:dyDescent="0.45">
      <c r="B35" s="71" t="s">
        <v>131</v>
      </c>
      <c r="J35" s="39">
        <v>0.30000000000000016</v>
      </c>
      <c r="K35" s="79"/>
    </row>
    <row r="36" spans="2:11" outlineLevel="1" x14ac:dyDescent="0.45">
      <c r="J36" s="39">
        <v>0.50000000000000011</v>
      </c>
      <c r="K36" s="79"/>
    </row>
    <row r="37" spans="2:11" outlineLevel="1" x14ac:dyDescent="0.45">
      <c r="B37" s="62"/>
      <c r="C37" s="78"/>
      <c r="J37" s="39">
        <v>0.70000000000000007</v>
      </c>
      <c r="K37" s="79"/>
    </row>
    <row r="38" spans="2:11" outlineLevel="1" x14ac:dyDescent="0.45">
      <c r="B38" s="71"/>
      <c r="J38" s="39">
        <v>0.9</v>
      </c>
      <c r="K38" s="79"/>
    </row>
    <row r="39" spans="2:11" outlineLevel="1" x14ac:dyDescent="0.45">
      <c r="D39" s="80"/>
      <c r="E39" s="80"/>
      <c r="F39" s="80"/>
      <c r="G39" s="80"/>
      <c r="H39" s="80"/>
    </row>
    <row r="40" spans="2:11" outlineLevel="1" x14ac:dyDescent="0.45"/>
    <row r="41" spans="2:11" s="70" customFormat="1" x14ac:dyDescent="0.45">
      <c r="B41" s="217" t="s">
        <v>130</v>
      </c>
      <c r="C41" s="217"/>
      <c r="D41" s="217"/>
      <c r="E41" s="217"/>
      <c r="F41" s="217"/>
      <c r="G41" s="217"/>
      <c r="H41" s="217"/>
      <c r="I41" s="217"/>
      <c r="J41" s="217"/>
      <c r="K41" s="217"/>
    </row>
    <row r="42" spans="2:11" x14ac:dyDescent="0.45">
      <c r="C42" s="60"/>
    </row>
    <row r="43" spans="2:11" x14ac:dyDescent="0.45">
      <c r="B43" s="39" t="s">
        <v>128</v>
      </c>
      <c r="K43" s="60"/>
    </row>
    <row r="44" spans="2:11" x14ac:dyDescent="0.45">
      <c r="B44" s="60" t="s">
        <v>129</v>
      </c>
      <c r="K44" s="60"/>
    </row>
    <row r="45" spans="2:11" x14ac:dyDescent="0.45">
      <c r="B45" s="71" t="s">
        <v>165</v>
      </c>
    </row>
    <row r="47" spans="2:11" x14ac:dyDescent="0.45">
      <c r="B47" s="62"/>
      <c r="C47" s="228" t="s">
        <v>191</v>
      </c>
      <c r="D47" s="220"/>
      <c r="E47" s="220"/>
      <c r="F47" s="220"/>
    </row>
    <row r="48" spans="2:11" x14ac:dyDescent="0.45">
      <c r="B48" s="62"/>
      <c r="C48" s="81">
        <f>C52</f>
        <v>-5000</v>
      </c>
      <c r="D48" s="81">
        <f>D52</f>
        <v>2000</v>
      </c>
      <c r="E48" s="81">
        <f>E52</f>
        <v>2500</v>
      </c>
      <c r="F48" s="81">
        <f>F52</f>
        <v>3000</v>
      </c>
      <c r="G48" s="67"/>
    </row>
    <row r="49" spans="2:11" x14ac:dyDescent="0.45">
      <c r="B49" s="62"/>
      <c r="C49" s="82">
        <f ca="1">C51</f>
        <v>44966</v>
      </c>
      <c r="D49" s="82">
        <f ca="1">D51</f>
        <v>45166</v>
      </c>
      <c r="E49" s="82">
        <f ca="1">E51</f>
        <v>45366</v>
      </c>
      <c r="F49" s="82">
        <f ca="1">F51</f>
        <v>45566</v>
      </c>
    </row>
    <row r="51" spans="2:11" ht="18" x14ac:dyDescent="0.6">
      <c r="C51" s="76">
        <f ca="1">TODAY()</f>
        <v>44966</v>
      </c>
      <c r="D51" s="76">
        <f ca="1">TODAY()+200</f>
        <v>45166</v>
      </c>
      <c r="E51" s="76">
        <f ca="1">TODAY()+400</f>
        <v>45366</v>
      </c>
      <c r="F51" s="76">
        <f ca="1">TODAY()+600</f>
        <v>45566</v>
      </c>
      <c r="G51" s="63" t="s">
        <v>128</v>
      </c>
    </row>
    <row r="52" spans="2:11" x14ac:dyDescent="0.45">
      <c r="C52" s="67">
        <v>-5000</v>
      </c>
      <c r="D52" s="67">
        <v>2000</v>
      </c>
      <c r="E52" s="67">
        <v>2500</v>
      </c>
      <c r="F52" s="67">
        <v>3000</v>
      </c>
      <c r="G52" s="79" t="e">
        <f ca="1">XIRR(C51:F51,C52:F52)</f>
        <v>#NUM!</v>
      </c>
    </row>
    <row r="54" spans="2:11" s="70" customFormat="1" collapsed="1" x14ac:dyDescent="0.45">
      <c r="B54" s="217" t="s">
        <v>127</v>
      </c>
      <c r="C54" s="217"/>
      <c r="D54" s="217"/>
      <c r="E54" s="217"/>
      <c r="F54" s="217"/>
      <c r="G54" s="217"/>
      <c r="H54" s="217"/>
      <c r="I54" s="217"/>
      <c r="J54" s="217"/>
      <c r="K54" s="217"/>
    </row>
    <row r="56" spans="2:11" x14ac:dyDescent="0.45">
      <c r="B56" s="70" t="s">
        <v>126</v>
      </c>
    </row>
    <row r="57" spans="2:11" x14ac:dyDescent="0.45">
      <c r="B57" s="70" t="s">
        <v>125</v>
      </c>
      <c r="C57" s="39" t="s">
        <v>124</v>
      </c>
    </row>
    <row r="58" spans="2:11" x14ac:dyDescent="0.45">
      <c r="B58" s="70" t="s">
        <v>123</v>
      </c>
      <c r="C58" s="39" t="s">
        <v>122</v>
      </c>
    </row>
    <row r="59" spans="2:11" x14ac:dyDescent="0.45">
      <c r="B59" s="70" t="s">
        <v>121</v>
      </c>
      <c r="C59" s="39" t="s">
        <v>120</v>
      </c>
    </row>
    <row r="60" spans="2:11" x14ac:dyDescent="0.45">
      <c r="B60" s="70" t="s">
        <v>119</v>
      </c>
      <c r="C60" s="39" t="s">
        <v>118</v>
      </c>
    </row>
    <row r="61" spans="2:11" x14ac:dyDescent="0.45">
      <c r="B61" s="70" t="s">
        <v>117</v>
      </c>
      <c r="C61" s="39" t="s">
        <v>116</v>
      </c>
    </row>
    <row r="62" spans="2:11" x14ac:dyDescent="0.45">
      <c r="B62" s="70" t="s">
        <v>115</v>
      </c>
      <c r="C62" s="39" t="s">
        <v>114</v>
      </c>
    </row>
    <row r="64" spans="2:11" x14ac:dyDescent="0.45">
      <c r="B64" s="259" t="s">
        <v>192</v>
      </c>
      <c r="C64" s="259"/>
      <c r="D64" s="259"/>
      <c r="E64" s="259"/>
      <c r="F64" s="259"/>
      <c r="G64" s="259"/>
      <c r="H64" s="259"/>
      <c r="I64" s="259"/>
      <c r="J64" s="259"/>
      <c r="K64" s="259"/>
    </row>
    <row r="65" spans="2:9" x14ac:dyDescent="0.45">
      <c r="B65" s="231" t="s">
        <v>113</v>
      </c>
      <c r="C65" s="232">
        <v>95</v>
      </c>
      <c r="D65" s="235" t="s">
        <v>112</v>
      </c>
      <c r="E65" s="14"/>
      <c r="F65" s="14"/>
      <c r="G65" s="14"/>
      <c r="H65" s="14"/>
      <c r="I65" s="14"/>
    </row>
    <row r="66" spans="2:9" x14ac:dyDescent="0.45">
      <c r="B66" s="231" t="s">
        <v>111</v>
      </c>
      <c r="C66" s="232">
        <v>5</v>
      </c>
      <c r="D66" s="14"/>
      <c r="E66" s="14"/>
      <c r="F66" s="14"/>
      <c r="G66" s="14"/>
      <c r="H66" s="14"/>
      <c r="I66" s="14"/>
    </row>
    <row r="67" spans="2:9" x14ac:dyDescent="0.45">
      <c r="B67" s="231" t="s">
        <v>110</v>
      </c>
      <c r="C67" s="232" t="s">
        <v>109</v>
      </c>
      <c r="D67" s="14"/>
      <c r="E67" s="14"/>
      <c r="F67" s="14"/>
      <c r="G67" s="14"/>
      <c r="H67" s="14"/>
      <c r="I67" s="14"/>
    </row>
    <row r="68" spans="2:9" x14ac:dyDescent="0.45">
      <c r="B68" s="231" t="s">
        <v>108</v>
      </c>
      <c r="C68" s="232">
        <v>100</v>
      </c>
      <c r="D68" s="14"/>
      <c r="E68" s="14"/>
      <c r="F68" s="14"/>
      <c r="G68" s="14"/>
      <c r="H68" s="14"/>
      <c r="I68" s="14"/>
    </row>
    <row r="69" spans="2:9" x14ac:dyDescent="0.45">
      <c r="B69" s="231" t="s">
        <v>107</v>
      </c>
      <c r="C69" s="233">
        <v>45444</v>
      </c>
      <c r="D69" s="14"/>
      <c r="E69" s="14"/>
      <c r="F69" s="14"/>
      <c r="G69" s="14"/>
      <c r="H69" s="14"/>
      <c r="I69" s="14"/>
    </row>
    <row r="70" spans="2:9" x14ac:dyDescent="0.45">
      <c r="B70" s="231" t="s">
        <v>106</v>
      </c>
      <c r="C70" s="234">
        <f ca="1">YIELD(TODAY(),C69,C66/100,C65,C68,4)</f>
        <v>9.0862002653224916E-2</v>
      </c>
      <c r="D70" s="14"/>
      <c r="E70" s="14"/>
      <c r="F70" s="14"/>
      <c r="G70" s="14"/>
      <c r="H70" s="14"/>
      <c r="I70" s="14"/>
    </row>
    <row r="71" spans="2:9" outlineLevel="1" x14ac:dyDescent="0.45">
      <c r="B71" s="14"/>
      <c r="C71" s="230">
        <f ca="1">YIELD(TODAY(),C69,C66/100,C65,C68,4)</f>
        <v>9.0862002653224916E-2</v>
      </c>
      <c r="D71" s="14"/>
      <c r="E71" s="14"/>
      <c r="F71" s="14"/>
      <c r="G71" s="14"/>
      <c r="H71" s="14"/>
      <c r="I71" s="14"/>
    </row>
  </sheetData>
  <mergeCells count="1">
    <mergeCell ref="B64:K64"/>
  </mergeCells>
  <pageMargins left="0.7" right="0.7" top="0.75" bottom="0.75" header="0.3" footer="0.3"/>
  <pageSetup scale="58"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ADE16-FE5D-4956-B6EF-B8813957D33C}">
  <sheetPr codeName="Sheet7">
    <tabColor rgb="FF00B050"/>
  </sheetPr>
  <dimension ref="A1:J42"/>
  <sheetViews>
    <sheetView showGridLines="0" zoomScale="80" zoomScaleNormal="80" workbookViewId="0">
      <selection activeCell="E87" sqref="E87"/>
    </sheetView>
  </sheetViews>
  <sheetFormatPr defaultColWidth="9.08984375" defaultRowHeight="14.5" x14ac:dyDescent="0.35"/>
  <cols>
    <col min="1" max="1" width="15.6328125" style="236" bestFit="1" customWidth="1"/>
    <col min="2" max="2" width="17.26953125" style="2" bestFit="1" customWidth="1"/>
    <col min="3" max="3" width="8.54296875" style="238" customWidth="1"/>
    <col min="4" max="4" width="17.6328125" style="236" bestFit="1" customWidth="1"/>
    <col min="5" max="16384" width="9.08984375" style="236"/>
  </cols>
  <sheetData>
    <row r="1" spans="1:10" x14ac:dyDescent="0.35">
      <c r="A1" s="236" t="s">
        <v>193</v>
      </c>
      <c r="B1" s="237"/>
      <c r="J1" s="239"/>
    </row>
    <row r="3" spans="1:10" x14ac:dyDescent="0.35">
      <c r="A3" s="244" t="s">
        <v>69</v>
      </c>
      <c r="B3" s="245" t="s">
        <v>194</v>
      </c>
      <c r="C3" s="246" t="s">
        <v>195</v>
      </c>
    </row>
    <row r="4" spans="1:10" x14ac:dyDescent="0.35">
      <c r="A4" s="247">
        <v>2018</v>
      </c>
      <c r="B4" s="248">
        <v>107873900</v>
      </c>
      <c r="C4" s="249">
        <v>-0.62601885887805664</v>
      </c>
    </row>
    <row r="8" spans="1:10" x14ac:dyDescent="0.35">
      <c r="A8" s="240" t="s">
        <v>196</v>
      </c>
      <c r="B8" s="241"/>
      <c r="C8" s="242"/>
      <c r="D8" s="240"/>
      <c r="E8" s="240"/>
    </row>
    <row r="10" spans="1:10" s="2" customFormat="1" x14ac:dyDescent="0.35"/>
    <row r="11" spans="1:10" x14ac:dyDescent="0.35">
      <c r="C11" s="2"/>
      <c r="D11" s="2"/>
    </row>
    <row r="12" spans="1:10" x14ac:dyDescent="0.35">
      <c r="C12" s="2"/>
      <c r="D12" s="2"/>
    </row>
    <row r="13" spans="1:10" x14ac:dyDescent="0.35">
      <c r="C13" s="2"/>
      <c r="D13" s="2"/>
    </row>
    <row r="14" spans="1:10" x14ac:dyDescent="0.35">
      <c r="C14" s="2"/>
      <c r="D14" s="2"/>
    </row>
    <row r="15" spans="1:10" x14ac:dyDescent="0.35">
      <c r="C15" s="2"/>
      <c r="D15" s="2"/>
    </row>
    <row r="16" spans="1:10" x14ac:dyDescent="0.35">
      <c r="C16" s="2"/>
      <c r="D16" s="2"/>
    </row>
    <row r="17" spans="3:4" x14ac:dyDescent="0.35">
      <c r="C17" s="2"/>
      <c r="D17" s="2"/>
    </row>
    <row r="40" spans="9:9" x14ac:dyDescent="0.35">
      <c r="I40" s="2"/>
    </row>
    <row r="42" spans="9:9" x14ac:dyDescent="0.35">
      <c r="I42" s="243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C7AFC-EE18-4DF2-BC4A-558C106827C2}">
  <sheetPr codeName="Sheet8">
    <tabColor rgb="FF00B050"/>
  </sheetPr>
  <dimension ref="A1:C15"/>
  <sheetViews>
    <sheetView showGridLines="0" tabSelected="1" zoomScale="80" zoomScaleNormal="80" workbookViewId="0">
      <selection activeCell="H52" sqref="H52"/>
    </sheetView>
  </sheetViews>
  <sheetFormatPr defaultRowHeight="14.5" x14ac:dyDescent="0.35"/>
  <cols>
    <col min="1" max="1" width="8.7265625" style="1"/>
    <col min="2" max="2" width="16.36328125" style="1" bestFit="1" customWidth="1"/>
    <col min="3" max="16384" width="8.7265625" style="1"/>
  </cols>
  <sheetData>
    <row r="1" spans="1:3" x14ac:dyDescent="0.35">
      <c r="A1" s="1" t="s">
        <v>210</v>
      </c>
    </row>
    <row r="3" spans="1:3" x14ac:dyDescent="0.35">
      <c r="A3" s="253" t="s">
        <v>209</v>
      </c>
      <c r="B3" s="253" t="s">
        <v>194</v>
      </c>
      <c r="C3" s="253" t="s">
        <v>195</v>
      </c>
    </row>
    <row r="4" spans="1:3" x14ac:dyDescent="0.35">
      <c r="A4" s="1" t="s">
        <v>208</v>
      </c>
      <c r="B4" s="251">
        <v>83079900</v>
      </c>
      <c r="C4" s="250">
        <v>-7.2847634553909302E-2</v>
      </c>
    </row>
    <row r="5" spans="1:3" x14ac:dyDescent="0.35">
      <c r="A5" s="1" t="s">
        <v>207</v>
      </c>
      <c r="B5" s="251">
        <v>200879900</v>
      </c>
      <c r="C5" s="250">
        <v>-0.16336052119731903</v>
      </c>
    </row>
    <row r="6" spans="1:3" x14ac:dyDescent="0.35">
      <c r="A6" s="1" t="s">
        <v>206</v>
      </c>
      <c r="B6" s="251">
        <v>107873900</v>
      </c>
      <c r="C6" s="250">
        <v>-0.62601888179779053</v>
      </c>
    </row>
    <row r="7" spans="1:3" x14ac:dyDescent="0.35">
      <c r="A7" s="1" t="s">
        <v>205</v>
      </c>
      <c r="B7" s="251">
        <v>607473500</v>
      </c>
      <c r="C7" s="252">
        <v>0.81923085451126099</v>
      </c>
    </row>
    <row r="8" spans="1:3" x14ac:dyDescent="0.35">
      <c r="A8" s="1" t="s">
        <v>204</v>
      </c>
      <c r="B8" s="251">
        <v>478113900</v>
      </c>
      <c r="C8" s="250">
        <v>-0.39713191986083984</v>
      </c>
    </row>
    <row r="9" spans="1:3" x14ac:dyDescent="0.35">
      <c r="A9" s="1" t="s">
        <v>203</v>
      </c>
      <c r="B9" s="251">
        <v>104340600</v>
      </c>
      <c r="C9" s="250">
        <v>-0.20658062398433685</v>
      </c>
    </row>
    <row r="10" spans="1:3" x14ac:dyDescent="0.35">
      <c r="A10" s="1" t="s">
        <v>202</v>
      </c>
      <c r="B10" s="251">
        <v>158309000</v>
      </c>
      <c r="C10" s="250">
        <v>-0.6053471565246582</v>
      </c>
    </row>
    <row r="11" spans="1:3" x14ac:dyDescent="0.35">
      <c r="A11" s="1" t="s">
        <v>201</v>
      </c>
      <c r="B11" s="251">
        <v>502757100</v>
      </c>
      <c r="C11" s="252">
        <v>0.83952707052230835</v>
      </c>
    </row>
    <row r="12" spans="1:3" x14ac:dyDescent="0.35">
      <c r="A12" s="1" t="s">
        <v>200</v>
      </c>
      <c r="B12" s="251">
        <v>237212300</v>
      </c>
      <c r="C12" s="250">
        <v>-7.7529586851596832E-2</v>
      </c>
    </row>
    <row r="13" spans="1:3" x14ac:dyDescent="0.35">
      <c r="A13" s="1" t="s">
        <v>199</v>
      </c>
      <c r="B13" s="251">
        <v>538024300</v>
      </c>
      <c r="C13" s="250">
        <v>-0.44593092799186707</v>
      </c>
    </row>
    <row r="14" spans="1:3" x14ac:dyDescent="0.35">
      <c r="A14" s="1" t="s">
        <v>198</v>
      </c>
      <c r="B14" s="251">
        <v>151434700</v>
      </c>
      <c r="C14" s="250">
        <v>-4.9957673996686935E-2</v>
      </c>
    </row>
    <row r="15" spans="1:3" x14ac:dyDescent="0.35">
      <c r="A15" s="1" t="s">
        <v>197</v>
      </c>
      <c r="B15" s="251">
        <v>136539100</v>
      </c>
      <c r="C15" s="250">
        <v>-3.5443063825368881E-2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C00000"/>
  </sheetPr>
  <dimension ref="A1:X1001"/>
  <sheetViews>
    <sheetView showGridLines="0" zoomScale="80" zoomScaleNormal="80" workbookViewId="0">
      <selection activeCell="C43" sqref="C43"/>
    </sheetView>
  </sheetViews>
  <sheetFormatPr defaultColWidth="14.453125" defaultRowHeight="15" customHeight="1" x14ac:dyDescent="0.35"/>
  <cols>
    <col min="1" max="1" width="3.6328125" style="89" customWidth="1"/>
    <col min="2" max="2" width="71.26953125" style="91" customWidth="1"/>
    <col min="3" max="4" width="20.1796875" style="91" customWidth="1"/>
    <col min="5" max="5" width="42.7265625" style="91" customWidth="1"/>
    <col min="6" max="24" width="10" style="91" customWidth="1"/>
    <col min="25" max="16384" width="14.453125" style="91"/>
  </cols>
  <sheetData>
    <row r="1" spans="1:24" s="85" customFormat="1" ht="16.5" thickBot="1" x14ac:dyDescent="0.4">
      <c r="B1" s="86" t="s">
        <v>154</v>
      </c>
      <c r="C1" s="86"/>
      <c r="D1" s="86"/>
      <c r="E1" s="86"/>
      <c r="F1" s="86"/>
      <c r="G1" s="86"/>
      <c r="H1" s="86"/>
      <c r="I1" s="86"/>
      <c r="J1" s="86"/>
      <c r="K1" s="87"/>
      <c r="N1" s="88"/>
    </row>
    <row r="2" spans="1:24" ht="279" customHeight="1" thickTop="1" thickBot="1" x14ac:dyDescent="0.4">
      <c r="B2" s="90"/>
      <c r="D2" s="92"/>
      <c r="E2" s="93"/>
    </row>
    <row r="3" spans="1:24" ht="16.5" customHeight="1" thickBot="1" x14ac:dyDescent="0.4">
      <c r="B3" s="263" t="s">
        <v>180</v>
      </c>
      <c r="C3" s="264"/>
      <c r="D3" s="264"/>
      <c r="E3" s="265"/>
    </row>
    <row r="4" spans="1:24" s="99" customFormat="1" ht="13.5" customHeight="1" thickBot="1" x14ac:dyDescent="0.4">
      <c r="A4" s="94"/>
      <c r="B4" s="95" t="s">
        <v>13</v>
      </c>
      <c r="C4" s="96" t="s">
        <v>181</v>
      </c>
      <c r="D4" s="97" t="s">
        <v>0</v>
      </c>
      <c r="E4" s="98" t="s">
        <v>1</v>
      </c>
    </row>
    <row r="5" spans="1:24" ht="12.75" customHeight="1" x14ac:dyDescent="0.35">
      <c r="B5" s="266" t="s">
        <v>12</v>
      </c>
      <c r="C5" s="100">
        <v>60000</v>
      </c>
      <c r="D5" s="101">
        <f t="shared" ref="D5:D10" si="0">($C5/$C$12)-1</f>
        <v>-0.73818181818181816</v>
      </c>
      <c r="E5" s="171" t="s">
        <v>2</v>
      </c>
      <c r="F5" s="260" t="s">
        <v>182</v>
      </c>
      <c r="G5" s="261"/>
      <c r="H5" s="261"/>
      <c r="I5" s="261"/>
      <c r="J5" s="261"/>
      <c r="K5" s="261"/>
    </row>
    <row r="6" spans="1:24" ht="14.25" customHeight="1" x14ac:dyDescent="0.35">
      <c r="B6" s="267"/>
      <c r="C6" s="102">
        <v>75000</v>
      </c>
      <c r="D6" s="103">
        <f t="shared" si="0"/>
        <v>-0.67272727272727273</v>
      </c>
      <c r="E6" s="172" t="str">
        <f t="shared" ref="E6:E10" si="1">IF(OR(($C$20&lt;$C6),$C6&lt;$C$21),"Yes","No")</f>
        <v>Yes</v>
      </c>
      <c r="F6" s="260"/>
      <c r="G6" s="261"/>
      <c r="H6" s="261"/>
      <c r="I6" s="261"/>
      <c r="J6" s="261"/>
      <c r="K6" s="261"/>
    </row>
    <row r="7" spans="1:24" ht="14.25" customHeight="1" x14ac:dyDescent="0.35">
      <c r="B7" s="267"/>
      <c r="C7" s="104">
        <v>275000</v>
      </c>
      <c r="D7" s="105">
        <f t="shared" si="0"/>
        <v>0.19999999999999996</v>
      </c>
      <c r="E7" s="106" t="str">
        <f t="shared" si="1"/>
        <v>No</v>
      </c>
    </row>
    <row r="8" spans="1:24" ht="14.25" customHeight="1" x14ac:dyDescent="0.35">
      <c r="B8" s="267"/>
      <c r="C8" s="104">
        <v>290000</v>
      </c>
      <c r="D8" s="105">
        <f t="shared" si="0"/>
        <v>0.26545454545454561</v>
      </c>
      <c r="E8" s="106" t="str">
        <f t="shared" si="1"/>
        <v>No</v>
      </c>
    </row>
    <row r="9" spans="1:24" ht="14.25" customHeight="1" x14ac:dyDescent="0.35">
      <c r="B9" s="267"/>
      <c r="C9" s="104">
        <v>310000</v>
      </c>
      <c r="D9" s="105">
        <f t="shared" si="0"/>
        <v>0.35272727272727278</v>
      </c>
      <c r="E9" s="106" t="str">
        <f t="shared" si="1"/>
        <v>No</v>
      </c>
    </row>
    <row r="10" spans="1:24" ht="15" customHeight="1" x14ac:dyDescent="0.35">
      <c r="B10" s="267"/>
      <c r="C10" s="104">
        <v>365000</v>
      </c>
      <c r="D10" s="105">
        <f t="shared" si="0"/>
        <v>0.59272727272727277</v>
      </c>
      <c r="E10" s="106" t="str">
        <f t="shared" si="1"/>
        <v>No</v>
      </c>
    </row>
    <row r="11" spans="1:24" ht="15" customHeight="1" x14ac:dyDescent="0.35">
      <c r="B11" s="107" t="s">
        <v>3</v>
      </c>
      <c r="C11" s="108">
        <f t="shared" ref="C11" si="2">MEDIAN(C4:C10)</f>
        <v>282500</v>
      </c>
      <c r="D11" s="109"/>
      <c r="E11" s="110"/>
      <c r="F11" s="110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110"/>
      <c r="T11" s="110"/>
      <c r="U11" s="110"/>
      <c r="V11" s="110"/>
      <c r="W11" s="110"/>
      <c r="X11" s="110"/>
    </row>
    <row r="12" spans="1:24" ht="12.75" customHeight="1" x14ac:dyDescent="0.35">
      <c r="B12" s="107" t="s">
        <v>4</v>
      </c>
      <c r="C12" s="108">
        <f t="shared" ref="C12" si="3">AVERAGE(C5:C10)</f>
        <v>229166.66666666666</v>
      </c>
      <c r="D12" s="109"/>
      <c r="E12" s="110"/>
      <c r="F12" s="110"/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  <c r="X12" s="110"/>
    </row>
    <row r="13" spans="1:24" ht="12.75" customHeight="1" x14ac:dyDescent="0.35"/>
    <row r="14" spans="1:24" ht="12.75" customHeight="1" x14ac:dyDescent="0.35">
      <c r="B14" s="268"/>
      <c r="C14" s="262"/>
      <c r="D14" s="262"/>
      <c r="E14" s="262"/>
    </row>
    <row r="15" spans="1:24" ht="12.75" customHeight="1" x14ac:dyDescent="0.35">
      <c r="B15" s="111" t="s">
        <v>5</v>
      </c>
      <c r="C15" s="112">
        <f t="shared" ref="C15" si="4">C12</f>
        <v>229166.66666666666</v>
      </c>
      <c r="D15" s="92"/>
    </row>
    <row r="16" spans="1:24" ht="12.75" customHeight="1" x14ac:dyDescent="0.35">
      <c r="B16" s="113" t="s">
        <v>6</v>
      </c>
      <c r="C16" s="112">
        <f t="shared" ref="C16" si="5">_xlfn.STDEV.S(C5:C10)</f>
        <v>128973.51149234739</v>
      </c>
      <c r="D16" s="92"/>
    </row>
    <row r="17" spans="2:5" ht="12.75" customHeight="1" x14ac:dyDescent="0.35">
      <c r="B17" s="111" t="s">
        <v>7</v>
      </c>
      <c r="C17" s="112">
        <f>_xlfn.QUARTILE.INC(array,3)</f>
        <v>305000</v>
      </c>
      <c r="D17" s="92"/>
    </row>
    <row r="18" spans="2:5" ht="12.75" customHeight="1" x14ac:dyDescent="0.35">
      <c r="B18" s="111" t="s">
        <v>8</v>
      </c>
      <c r="C18" s="112">
        <f>_xlfn.QUARTILE.INC(array,1)</f>
        <v>125000</v>
      </c>
      <c r="D18" s="92"/>
    </row>
    <row r="19" spans="2:5" ht="12.75" customHeight="1" x14ac:dyDescent="0.35">
      <c r="B19" s="111" t="s">
        <v>9</v>
      </c>
      <c r="C19" s="112">
        <f t="shared" ref="C19" si="6">C17-C18</f>
        <v>180000</v>
      </c>
      <c r="D19" s="92"/>
    </row>
    <row r="20" spans="2:5" ht="12.75" customHeight="1" x14ac:dyDescent="0.35">
      <c r="B20" s="114" t="s">
        <v>10</v>
      </c>
      <c r="C20" s="104">
        <f>(1.5*C19)+C17</f>
        <v>575000</v>
      </c>
      <c r="D20" s="92"/>
    </row>
    <row r="21" spans="2:5" ht="12.75" customHeight="1" x14ac:dyDescent="0.35">
      <c r="B21" s="114" t="s">
        <v>11</v>
      </c>
      <c r="C21" s="104">
        <f>(1.5*C19)-C18</f>
        <v>145000</v>
      </c>
      <c r="D21" s="92"/>
    </row>
    <row r="22" spans="2:5" ht="12.75" customHeight="1" x14ac:dyDescent="0.35">
      <c r="B22" s="115"/>
      <c r="C22" s="116"/>
      <c r="D22" s="92"/>
    </row>
    <row r="23" spans="2:5" ht="12.75" customHeight="1" x14ac:dyDescent="0.35">
      <c r="B23" s="117"/>
      <c r="C23" s="118"/>
      <c r="D23" s="92"/>
    </row>
    <row r="24" spans="2:5" ht="16" x14ac:dyDescent="0.35">
      <c r="B24" s="119" t="s">
        <v>14</v>
      </c>
      <c r="C24" s="118"/>
      <c r="D24" s="92"/>
    </row>
    <row r="25" spans="2:5" ht="12.75" customHeight="1" x14ac:dyDescent="0.35">
      <c r="D25" s="92"/>
    </row>
    <row r="26" spans="2:5" ht="12.75" customHeight="1" x14ac:dyDescent="0.35">
      <c r="B26" s="262"/>
      <c r="C26" s="262"/>
      <c r="D26" s="262"/>
      <c r="E26" s="262"/>
    </row>
    <row r="27" spans="2:5" ht="28.5" customHeight="1" x14ac:dyDescent="0.35">
      <c r="B27" s="262"/>
      <c r="C27" s="262"/>
      <c r="D27" s="262"/>
      <c r="E27" s="262"/>
    </row>
    <row r="28" spans="2:5" ht="12.75" customHeight="1" x14ac:dyDescent="0.35">
      <c r="B28" s="262"/>
      <c r="C28" s="262"/>
      <c r="D28" s="262"/>
      <c r="E28" s="262"/>
    </row>
    <row r="29" spans="2:5" ht="27.5" customHeight="1" x14ac:dyDescent="0.35">
      <c r="B29" s="262"/>
      <c r="C29" s="262"/>
      <c r="D29" s="262"/>
      <c r="E29" s="262"/>
    </row>
    <row r="30" spans="2:5" ht="12.75" customHeight="1" x14ac:dyDescent="0.35">
      <c r="B30" s="262"/>
      <c r="C30" s="262"/>
      <c r="D30" s="262"/>
      <c r="E30" s="262"/>
    </row>
    <row r="31" spans="2:5" ht="25.5" customHeight="1" x14ac:dyDescent="0.35">
      <c r="B31" s="262"/>
      <c r="C31" s="262"/>
      <c r="D31" s="262"/>
      <c r="E31" s="262"/>
    </row>
    <row r="32" spans="2:5" ht="3" customHeight="1" x14ac:dyDescent="0.35">
      <c r="B32" s="262"/>
      <c r="C32" s="262"/>
      <c r="D32" s="262"/>
      <c r="E32" s="262"/>
    </row>
    <row r="33" spans="2:4" ht="3" customHeight="1" x14ac:dyDescent="0.35">
      <c r="B33" s="120"/>
      <c r="C33" s="120"/>
      <c r="D33" s="92"/>
    </row>
    <row r="34" spans="2:4" ht="12.75" customHeight="1" x14ac:dyDescent="0.35">
      <c r="B34" s="117"/>
      <c r="C34" s="118"/>
      <c r="D34" s="92"/>
    </row>
    <row r="35" spans="2:4" ht="12.75" customHeight="1" x14ac:dyDescent="0.35">
      <c r="B35" s="117"/>
      <c r="C35" s="118"/>
      <c r="D35" s="92"/>
    </row>
    <row r="36" spans="2:4" ht="12.75" customHeight="1" x14ac:dyDescent="0.35">
      <c r="B36" s="117"/>
      <c r="C36" s="118"/>
      <c r="D36" s="92"/>
    </row>
    <row r="37" spans="2:4" ht="12.75" customHeight="1" x14ac:dyDescent="0.35">
      <c r="B37" s="117"/>
      <c r="C37" s="118"/>
      <c r="D37" s="92"/>
    </row>
    <row r="38" spans="2:4" ht="12.75" customHeight="1" x14ac:dyDescent="0.35">
      <c r="B38" s="117"/>
      <c r="C38" s="118"/>
      <c r="D38" s="92"/>
    </row>
    <row r="39" spans="2:4" ht="12.75" customHeight="1" x14ac:dyDescent="0.35">
      <c r="B39" s="117"/>
      <c r="C39" s="118"/>
      <c r="D39" s="92"/>
    </row>
    <row r="40" spans="2:4" ht="12.75" customHeight="1" x14ac:dyDescent="0.35">
      <c r="B40" s="117"/>
      <c r="C40" s="118"/>
      <c r="D40" s="92"/>
    </row>
    <row r="41" spans="2:4" ht="12.75" customHeight="1" x14ac:dyDescent="0.35">
      <c r="B41" s="117"/>
      <c r="C41" s="118"/>
      <c r="D41" s="92"/>
    </row>
    <row r="42" spans="2:4" ht="12.75" customHeight="1" x14ac:dyDescent="0.35">
      <c r="B42" s="117"/>
      <c r="C42" s="118"/>
      <c r="D42" s="92"/>
    </row>
    <row r="43" spans="2:4" ht="12.75" customHeight="1" x14ac:dyDescent="0.35">
      <c r="B43" s="117"/>
      <c r="C43" s="118"/>
      <c r="D43" s="92"/>
    </row>
    <row r="44" spans="2:4" ht="12.75" customHeight="1" x14ac:dyDescent="0.35">
      <c r="B44" s="117"/>
      <c r="C44" s="118"/>
      <c r="D44" s="92"/>
    </row>
    <row r="45" spans="2:4" ht="12.75" customHeight="1" x14ac:dyDescent="0.35">
      <c r="B45" s="117"/>
      <c r="C45" s="118"/>
      <c r="D45" s="92"/>
    </row>
    <row r="46" spans="2:4" ht="12.75" customHeight="1" x14ac:dyDescent="0.35">
      <c r="B46" s="117"/>
      <c r="C46" s="118"/>
      <c r="D46" s="92"/>
    </row>
    <row r="47" spans="2:4" ht="12.75" customHeight="1" x14ac:dyDescent="0.35">
      <c r="B47" s="117"/>
      <c r="C47" s="118"/>
      <c r="D47" s="92"/>
    </row>
    <row r="48" spans="2:4" ht="12.75" customHeight="1" x14ac:dyDescent="0.35">
      <c r="B48" s="117"/>
      <c r="C48" s="118"/>
      <c r="D48" s="92"/>
    </row>
    <row r="49" spans="2:4" ht="12.75" customHeight="1" x14ac:dyDescent="0.35">
      <c r="B49" s="117"/>
      <c r="C49" s="118"/>
      <c r="D49" s="92"/>
    </row>
    <row r="50" spans="2:4" ht="12.75" customHeight="1" x14ac:dyDescent="0.35">
      <c r="B50" s="117"/>
      <c r="C50" s="118"/>
      <c r="D50" s="92"/>
    </row>
    <row r="51" spans="2:4" ht="12.75" customHeight="1" x14ac:dyDescent="0.35">
      <c r="B51" s="117"/>
      <c r="C51" s="118"/>
      <c r="D51" s="92"/>
    </row>
    <row r="52" spans="2:4" ht="12.75" customHeight="1" x14ac:dyDescent="0.35">
      <c r="B52" s="117"/>
      <c r="C52" s="118"/>
      <c r="D52" s="92"/>
    </row>
    <row r="53" spans="2:4" ht="12.75" customHeight="1" x14ac:dyDescent="0.35">
      <c r="B53" s="117"/>
      <c r="C53" s="118"/>
      <c r="D53" s="92"/>
    </row>
    <row r="54" spans="2:4" ht="12.75" customHeight="1" x14ac:dyDescent="0.35">
      <c r="B54" s="117"/>
      <c r="C54" s="118"/>
      <c r="D54" s="92"/>
    </row>
    <row r="55" spans="2:4" ht="12.75" customHeight="1" x14ac:dyDescent="0.35">
      <c r="B55" s="117"/>
      <c r="C55" s="118"/>
      <c r="D55" s="92"/>
    </row>
    <row r="56" spans="2:4" ht="12.75" customHeight="1" x14ac:dyDescent="0.35">
      <c r="B56" s="117"/>
      <c r="C56" s="118"/>
      <c r="D56" s="92"/>
    </row>
    <row r="57" spans="2:4" ht="12.75" customHeight="1" x14ac:dyDescent="0.35">
      <c r="B57" s="117"/>
      <c r="C57" s="118"/>
      <c r="D57" s="92"/>
    </row>
    <row r="58" spans="2:4" ht="12.75" customHeight="1" x14ac:dyDescent="0.35">
      <c r="B58" s="117"/>
      <c r="C58" s="118"/>
      <c r="D58" s="92"/>
    </row>
    <row r="59" spans="2:4" ht="12.75" customHeight="1" x14ac:dyDescent="0.35">
      <c r="B59" s="117"/>
      <c r="C59" s="118"/>
      <c r="D59" s="92"/>
    </row>
    <row r="60" spans="2:4" ht="12.75" customHeight="1" x14ac:dyDescent="0.35">
      <c r="B60" s="117"/>
      <c r="C60" s="118"/>
      <c r="D60" s="92"/>
    </row>
    <row r="61" spans="2:4" ht="12.75" customHeight="1" x14ac:dyDescent="0.35">
      <c r="B61" s="117"/>
      <c r="C61" s="118"/>
      <c r="D61" s="92"/>
    </row>
    <row r="62" spans="2:4" ht="12.75" customHeight="1" x14ac:dyDescent="0.35">
      <c r="B62" s="117"/>
      <c r="C62" s="118"/>
      <c r="D62" s="92"/>
    </row>
    <row r="63" spans="2:4" ht="12.75" customHeight="1" x14ac:dyDescent="0.35">
      <c r="B63" s="117"/>
      <c r="C63" s="118"/>
      <c r="D63" s="92"/>
    </row>
    <row r="64" spans="2:4" ht="12.75" customHeight="1" x14ac:dyDescent="0.35">
      <c r="B64" s="117"/>
      <c r="C64" s="118"/>
      <c r="D64" s="92"/>
    </row>
    <row r="65" spans="2:4" ht="12.75" customHeight="1" x14ac:dyDescent="0.35">
      <c r="B65" s="117"/>
      <c r="C65" s="118"/>
      <c r="D65" s="92"/>
    </row>
    <row r="66" spans="2:4" ht="12.75" customHeight="1" x14ac:dyDescent="0.35">
      <c r="B66" s="117"/>
      <c r="C66" s="118"/>
      <c r="D66" s="92"/>
    </row>
    <row r="67" spans="2:4" ht="12.75" customHeight="1" x14ac:dyDescent="0.35">
      <c r="B67" s="117"/>
      <c r="C67" s="118"/>
      <c r="D67" s="92"/>
    </row>
    <row r="68" spans="2:4" ht="12.75" customHeight="1" x14ac:dyDescent="0.35">
      <c r="B68" s="117"/>
      <c r="C68" s="118"/>
      <c r="D68" s="92"/>
    </row>
    <row r="69" spans="2:4" ht="12.75" customHeight="1" x14ac:dyDescent="0.35">
      <c r="B69" s="117"/>
      <c r="C69" s="118"/>
      <c r="D69" s="92"/>
    </row>
    <row r="70" spans="2:4" ht="12.75" customHeight="1" x14ac:dyDescent="0.35">
      <c r="B70" s="117"/>
      <c r="C70" s="118"/>
      <c r="D70" s="92"/>
    </row>
    <row r="71" spans="2:4" ht="12.75" customHeight="1" x14ac:dyDescent="0.35">
      <c r="B71" s="117"/>
      <c r="C71" s="118"/>
      <c r="D71" s="92"/>
    </row>
    <row r="72" spans="2:4" ht="12.75" customHeight="1" x14ac:dyDescent="0.35">
      <c r="B72" s="117"/>
      <c r="C72" s="118"/>
      <c r="D72" s="92"/>
    </row>
    <row r="73" spans="2:4" ht="12.75" customHeight="1" x14ac:dyDescent="0.35">
      <c r="B73" s="117"/>
      <c r="C73" s="118"/>
      <c r="D73" s="92"/>
    </row>
    <row r="74" spans="2:4" ht="12.75" customHeight="1" x14ac:dyDescent="0.35">
      <c r="B74" s="117"/>
      <c r="C74" s="118"/>
      <c r="D74" s="92"/>
    </row>
    <row r="75" spans="2:4" ht="12.75" customHeight="1" x14ac:dyDescent="0.35">
      <c r="B75" s="117"/>
      <c r="C75" s="118"/>
      <c r="D75" s="92"/>
    </row>
    <row r="76" spans="2:4" ht="12.75" customHeight="1" x14ac:dyDescent="0.35">
      <c r="B76" s="117"/>
      <c r="C76" s="118"/>
      <c r="D76" s="92"/>
    </row>
    <row r="77" spans="2:4" ht="12.75" customHeight="1" x14ac:dyDescent="0.35">
      <c r="B77" s="117"/>
      <c r="C77" s="118"/>
      <c r="D77" s="92"/>
    </row>
    <row r="78" spans="2:4" ht="12.75" customHeight="1" x14ac:dyDescent="0.35">
      <c r="B78" s="117"/>
      <c r="C78" s="118"/>
      <c r="D78" s="92"/>
    </row>
    <row r="79" spans="2:4" ht="12.75" customHeight="1" x14ac:dyDescent="0.35">
      <c r="B79" s="117"/>
      <c r="C79" s="118"/>
      <c r="D79" s="92"/>
    </row>
    <row r="80" spans="2:4" ht="12.75" customHeight="1" x14ac:dyDescent="0.35">
      <c r="B80" s="117"/>
      <c r="C80" s="118"/>
      <c r="D80" s="92"/>
    </row>
    <row r="81" spans="2:4" ht="12.75" customHeight="1" x14ac:dyDescent="0.35">
      <c r="B81" s="117"/>
      <c r="C81" s="118"/>
      <c r="D81" s="92"/>
    </row>
    <row r="82" spans="2:4" ht="12.75" customHeight="1" x14ac:dyDescent="0.35">
      <c r="B82" s="117"/>
      <c r="C82" s="118"/>
      <c r="D82" s="92"/>
    </row>
    <row r="83" spans="2:4" ht="12.75" customHeight="1" x14ac:dyDescent="0.35">
      <c r="B83" s="117"/>
      <c r="C83" s="118"/>
      <c r="D83" s="92"/>
    </row>
    <row r="84" spans="2:4" ht="12.75" customHeight="1" x14ac:dyDescent="0.35">
      <c r="B84" s="117"/>
      <c r="C84" s="118"/>
      <c r="D84" s="92"/>
    </row>
    <row r="85" spans="2:4" ht="12.75" customHeight="1" x14ac:dyDescent="0.35">
      <c r="B85" s="117"/>
      <c r="C85" s="118"/>
      <c r="D85" s="92"/>
    </row>
    <row r="86" spans="2:4" ht="12.75" customHeight="1" x14ac:dyDescent="0.35">
      <c r="B86" s="117"/>
      <c r="C86" s="118"/>
      <c r="D86" s="92"/>
    </row>
    <row r="87" spans="2:4" ht="12.75" customHeight="1" x14ac:dyDescent="0.35">
      <c r="B87" s="117"/>
      <c r="C87" s="118"/>
      <c r="D87" s="92"/>
    </row>
    <row r="88" spans="2:4" ht="12.75" customHeight="1" x14ac:dyDescent="0.35">
      <c r="B88" s="117"/>
      <c r="C88" s="118"/>
      <c r="D88" s="92"/>
    </row>
    <row r="89" spans="2:4" ht="12.75" customHeight="1" x14ac:dyDescent="0.35">
      <c r="B89" s="117"/>
      <c r="C89" s="118"/>
      <c r="D89" s="92"/>
    </row>
    <row r="90" spans="2:4" ht="12.75" customHeight="1" x14ac:dyDescent="0.35">
      <c r="B90" s="117"/>
      <c r="C90" s="118"/>
      <c r="D90" s="92"/>
    </row>
    <row r="91" spans="2:4" ht="12.75" customHeight="1" x14ac:dyDescent="0.35">
      <c r="B91" s="117"/>
      <c r="C91" s="118"/>
      <c r="D91" s="92"/>
    </row>
    <row r="92" spans="2:4" ht="12.75" customHeight="1" x14ac:dyDescent="0.35">
      <c r="B92" s="117"/>
      <c r="C92" s="118"/>
      <c r="D92" s="92"/>
    </row>
    <row r="93" spans="2:4" ht="12.75" customHeight="1" x14ac:dyDescent="0.35">
      <c r="B93" s="117"/>
      <c r="C93" s="118"/>
      <c r="D93" s="92"/>
    </row>
    <row r="94" spans="2:4" ht="12.75" customHeight="1" x14ac:dyDescent="0.35">
      <c r="B94" s="117"/>
      <c r="C94" s="118"/>
      <c r="D94" s="92"/>
    </row>
    <row r="95" spans="2:4" ht="12.75" customHeight="1" x14ac:dyDescent="0.35">
      <c r="B95" s="117"/>
      <c r="C95" s="118"/>
      <c r="D95" s="92"/>
    </row>
    <row r="96" spans="2:4" ht="12.75" customHeight="1" x14ac:dyDescent="0.35">
      <c r="B96" s="117"/>
      <c r="C96" s="118"/>
      <c r="D96" s="92"/>
    </row>
    <row r="97" spans="2:4" ht="12.75" customHeight="1" x14ac:dyDescent="0.35">
      <c r="B97" s="117"/>
      <c r="C97" s="118"/>
      <c r="D97" s="92"/>
    </row>
    <row r="98" spans="2:4" ht="12.75" customHeight="1" x14ac:dyDescent="0.35">
      <c r="B98" s="117"/>
      <c r="C98" s="118"/>
      <c r="D98" s="92"/>
    </row>
    <row r="99" spans="2:4" ht="12.75" customHeight="1" x14ac:dyDescent="0.35">
      <c r="B99" s="117"/>
      <c r="C99" s="118"/>
      <c r="D99" s="92"/>
    </row>
    <row r="100" spans="2:4" ht="12.75" customHeight="1" x14ac:dyDescent="0.35">
      <c r="B100" s="117"/>
      <c r="C100" s="118"/>
      <c r="D100" s="92"/>
    </row>
    <row r="101" spans="2:4" ht="12.75" customHeight="1" x14ac:dyDescent="0.35">
      <c r="B101" s="117"/>
      <c r="C101" s="118"/>
      <c r="D101" s="92"/>
    </row>
    <row r="102" spans="2:4" ht="12.75" customHeight="1" x14ac:dyDescent="0.35">
      <c r="B102" s="117"/>
      <c r="C102" s="118"/>
      <c r="D102" s="92"/>
    </row>
    <row r="103" spans="2:4" ht="12.75" customHeight="1" x14ac:dyDescent="0.35">
      <c r="B103" s="117"/>
      <c r="C103" s="118"/>
      <c r="D103" s="92"/>
    </row>
    <row r="104" spans="2:4" ht="12.75" customHeight="1" x14ac:dyDescent="0.35">
      <c r="B104" s="117"/>
      <c r="C104" s="118"/>
      <c r="D104" s="92"/>
    </row>
    <row r="105" spans="2:4" ht="12.75" customHeight="1" x14ac:dyDescent="0.35">
      <c r="B105" s="117"/>
      <c r="C105" s="118"/>
      <c r="D105" s="92"/>
    </row>
    <row r="106" spans="2:4" ht="12.75" customHeight="1" x14ac:dyDescent="0.35">
      <c r="B106" s="117"/>
      <c r="C106" s="118"/>
      <c r="D106" s="92"/>
    </row>
    <row r="107" spans="2:4" ht="12.75" customHeight="1" x14ac:dyDescent="0.35">
      <c r="B107" s="117"/>
      <c r="C107" s="118"/>
      <c r="D107" s="92"/>
    </row>
    <row r="108" spans="2:4" ht="12.75" customHeight="1" x14ac:dyDescent="0.35">
      <c r="B108" s="117"/>
      <c r="C108" s="118"/>
      <c r="D108" s="92"/>
    </row>
    <row r="109" spans="2:4" ht="12.75" customHeight="1" x14ac:dyDescent="0.35">
      <c r="B109" s="117"/>
      <c r="C109" s="118"/>
      <c r="D109" s="92"/>
    </row>
    <row r="110" spans="2:4" ht="12.75" customHeight="1" x14ac:dyDescent="0.35">
      <c r="B110" s="117"/>
      <c r="C110" s="118"/>
      <c r="D110" s="92"/>
    </row>
    <row r="111" spans="2:4" ht="12.75" customHeight="1" x14ac:dyDescent="0.35">
      <c r="B111" s="117"/>
      <c r="C111" s="118"/>
      <c r="D111" s="92"/>
    </row>
    <row r="112" spans="2:4" ht="12.75" customHeight="1" x14ac:dyDescent="0.35">
      <c r="B112" s="117"/>
      <c r="C112" s="118"/>
      <c r="D112" s="92"/>
    </row>
    <row r="113" spans="2:4" ht="12.75" customHeight="1" x14ac:dyDescent="0.35">
      <c r="B113" s="117"/>
      <c r="C113" s="118"/>
      <c r="D113" s="92"/>
    </row>
    <row r="114" spans="2:4" ht="12.75" customHeight="1" x14ac:dyDescent="0.35">
      <c r="B114" s="117"/>
      <c r="C114" s="118"/>
      <c r="D114" s="92"/>
    </row>
    <row r="115" spans="2:4" ht="12.75" customHeight="1" x14ac:dyDescent="0.35">
      <c r="B115" s="117"/>
      <c r="C115" s="118"/>
      <c r="D115" s="92"/>
    </row>
    <row r="116" spans="2:4" ht="12.75" customHeight="1" x14ac:dyDescent="0.35">
      <c r="B116" s="117"/>
      <c r="C116" s="118"/>
      <c r="D116" s="92"/>
    </row>
    <row r="117" spans="2:4" ht="12.75" customHeight="1" x14ac:dyDescent="0.35">
      <c r="B117" s="117"/>
      <c r="C117" s="118"/>
      <c r="D117" s="92"/>
    </row>
    <row r="118" spans="2:4" ht="12.75" customHeight="1" x14ac:dyDescent="0.35">
      <c r="B118" s="117"/>
      <c r="C118" s="118"/>
      <c r="D118" s="92"/>
    </row>
    <row r="119" spans="2:4" ht="12.75" customHeight="1" x14ac:dyDescent="0.35">
      <c r="B119" s="117"/>
      <c r="C119" s="118"/>
      <c r="D119" s="92"/>
    </row>
    <row r="120" spans="2:4" ht="12.75" customHeight="1" x14ac:dyDescent="0.35">
      <c r="B120" s="117"/>
      <c r="C120" s="118"/>
      <c r="D120" s="92"/>
    </row>
    <row r="121" spans="2:4" ht="12.75" customHeight="1" x14ac:dyDescent="0.35">
      <c r="B121" s="117"/>
      <c r="C121" s="118"/>
      <c r="D121" s="92"/>
    </row>
    <row r="122" spans="2:4" ht="12.75" customHeight="1" x14ac:dyDescent="0.35">
      <c r="B122" s="117"/>
      <c r="C122" s="118"/>
      <c r="D122" s="92"/>
    </row>
    <row r="123" spans="2:4" ht="12.75" customHeight="1" x14ac:dyDescent="0.35">
      <c r="B123" s="117"/>
      <c r="C123" s="118"/>
      <c r="D123" s="92"/>
    </row>
    <row r="124" spans="2:4" ht="12.75" customHeight="1" x14ac:dyDescent="0.35">
      <c r="B124" s="117"/>
      <c r="C124" s="118"/>
      <c r="D124" s="92"/>
    </row>
    <row r="125" spans="2:4" ht="12.75" customHeight="1" x14ac:dyDescent="0.35">
      <c r="B125" s="117"/>
      <c r="C125" s="118"/>
      <c r="D125" s="92"/>
    </row>
    <row r="126" spans="2:4" ht="12.75" customHeight="1" x14ac:dyDescent="0.35">
      <c r="B126" s="117"/>
      <c r="C126" s="118"/>
      <c r="D126" s="92"/>
    </row>
    <row r="127" spans="2:4" ht="12.75" customHeight="1" x14ac:dyDescent="0.35">
      <c r="B127" s="117"/>
      <c r="C127" s="118"/>
      <c r="D127" s="92"/>
    </row>
    <row r="128" spans="2:4" ht="12.75" customHeight="1" x14ac:dyDescent="0.35">
      <c r="B128" s="117"/>
      <c r="C128" s="118"/>
      <c r="D128" s="92"/>
    </row>
    <row r="129" spans="2:4" ht="12.75" customHeight="1" x14ac:dyDescent="0.35">
      <c r="B129" s="117"/>
      <c r="C129" s="118"/>
      <c r="D129" s="92"/>
    </row>
    <row r="130" spans="2:4" ht="12.75" customHeight="1" x14ac:dyDescent="0.35">
      <c r="B130" s="117"/>
      <c r="C130" s="118"/>
      <c r="D130" s="92"/>
    </row>
    <row r="131" spans="2:4" ht="12.75" customHeight="1" x14ac:dyDescent="0.35">
      <c r="B131" s="117"/>
      <c r="C131" s="118"/>
      <c r="D131" s="92"/>
    </row>
    <row r="132" spans="2:4" ht="12.75" customHeight="1" x14ac:dyDescent="0.35">
      <c r="B132" s="117"/>
      <c r="C132" s="118"/>
      <c r="D132" s="92"/>
    </row>
    <row r="133" spans="2:4" ht="12.75" customHeight="1" x14ac:dyDescent="0.35">
      <c r="B133" s="117"/>
      <c r="C133" s="118"/>
      <c r="D133" s="92"/>
    </row>
    <row r="134" spans="2:4" ht="12.75" customHeight="1" x14ac:dyDescent="0.35">
      <c r="B134" s="117"/>
      <c r="C134" s="118"/>
      <c r="D134" s="92"/>
    </row>
    <row r="135" spans="2:4" ht="12.75" customHeight="1" x14ac:dyDescent="0.35">
      <c r="B135" s="117"/>
      <c r="C135" s="118"/>
      <c r="D135" s="92"/>
    </row>
    <row r="136" spans="2:4" ht="12.75" customHeight="1" x14ac:dyDescent="0.35">
      <c r="B136" s="117"/>
      <c r="C136" s="118"/>
      <c r="D136" s="92"/>
    </row>
    <row r="137" spans="2:4" ht="12.75" customHeight="1" x14ac:dyDescent="0.35">
      <c r="B137" s="117"/>
      <c r="C137" s="118"/>
      <c r="D137" s="92"/>
    </row>
    <row r="138" spans="2:4" ht="12.75" customHeight="1" x14ac:dyDescent="0.35">
      <c r="B138" s="117"/>
      <c r="C138" s="118"/>
      <c r="D138" s="92"/>
    </row>
    <row r="139" spans="2:4" ht="12.75" customHeight="1" x14ac:dyDescent="0.35">
      <c r="B139" s="117"/>
      <c r="C139" s="118"/>
      <c r="D139" s="92"/>
    </row>
    <row r="140" spans="2:4" ht="12.75" customHeight="1" x14ac:dyDescent="0.35">
      <c r="B140" s="117"/>
      <c r="C140" s="118"/>
      <c r="D140" s="92"/>
    </row>
    <row r="141" spans="2:4" ht="12.75" customHeight="1" x14ac:dyDescent="0.35">
      <c r="B141" s="117"/>
      <c r="C141" s="118"/>
      <c r="D141" s="92"/>
    </row>
    <row r="142" spans="2:4" ht="12.75" customHeight="1" x14ac:dyDescent="0.35">
      <c r="B142" s="117"/>
      <c r="C142" s="118"/>
      <c r="D142" s="92"/>
    </row>
    <row r="143" spans="2:4" ht="12.75" customHeight="1" x14ac:dyDescent="0.35">
      <c r="B143" s="117"/>
      <c r="C143" s="118"/>
      <c r="D143" s="92"/>
    </row>
    <row r="144" spans="2:4" ht="12.75" customHeight="1" x14ac:dyDescent="0.35">
      <c r="B144" s="117"/>
      <c r="C144" s="118"/>
      <c r="D144" s="92"/>
    </row>
    <row r="145" spans="2:4" ht="12.75" customHeight="1" x14ac:dyDescent="0.35">
      <c r="B145" s="117"/>
      <c r="C145" s="118"/>
      <c r="D145" s="92"/>
    </row>
    <row r="146" spans="2:4" ht="12.75" customHeight="1" x14ac:dyDescent="0.35">
      <c r="B146" s="117"/>
      <c r="C146" s="118"/>
      <c r="D146" s="92"/>
    </row>
    <row r="147" spans="2:4" ht="12.75" customHeight="1" x14ac:dyDescent="0.35">
      <c r="B147" s="117"/>
      <c r="C147" s="118"/>
      <c r="D147" s="92"/>
    </row>
    <row r="148" spans="2:4" ht="12.75" customHeight="1" x14ac:dyDescent="0.35">
      <c r="B148" s="117"/>
      <c r="C148" s="118"/>
      <c r="D148" s="92"/>
    </row>
    <row r="149" spans="2:4" ht="12.75" customHeight="1" x14ac:dyDescent="0.35">
      <c r="B149" s="117"/>
      <c r="C149" s="118"/>
      <c r="D149" s="92"/>
    </row>
    <row r="150" spans="2:4" ht="12.75" customHeight="1" x14ac:dyDescent="0.35">
      <c r="B150" s="117"/>
      <c r="C150" s="118"/>
      <c r="D150" s="92"/>
    </row>
    <row r="151" spans="2:4" ht="12.75" customHeight="1" x14ac:dyDescent="0.35">
      <c r="B151" s="117"/>
      <c r="C151" s="118"/>
      <c r="D151" s="92"/>
    </row>
    <row r="152" spans="2:4" ht="12.75" customHeight="1" x14ac:dyDescent="0.35">
      <c r="B152" s="117"/>
      <c r="C152" s="118"/>
      <c r="D152" s="92"/>
    </row>
    <row r="153" spans="2:4" ht="12.75" customHeight="1" x14ac:dyDescent="0.35">
      <c r="B153" s="117"/>
      <c r="C153" s="118"/>
      <c r="D153" s="92"/>
    </row>
    <row r="154" spans="2:4" ht="12.75" customHeight="1" x14ac:dyDescent="0.35">
      <c r="B154" s="117"/>
      <c r="C154" s="118"/>
      <c r="D154" s="92"/>
    </row>
    <row r="155" spans="2:4" ht="12.75" customHeight="1" x14ac:dyDescent="0.35">
      <c r="B155" s="117"/>
      <c r="C155" s="118"/>
      <c r="D155" s="92"/>
    </row>
    <row r="156" spans="2:4" ht="12.75" customHeight="1" x14ac:dyDescent="0.35">
      <c r="B156" s="117"/>
      <c r="C156" s="118"/>
      <c r="D156" s="92"/>
    </row>
    <row r="157" spans="2:4" ht="12.75" customHeight="1" x14ac:dyDescent="0.35">
      <c r="B157" s="117"/>
      <c r="C157" s="118"/>
      <c r="D157" s="92"/>
    </row>
    <row r="158" spans="2:4" ht="12.75" customHeight="1" x14ac:dyDescent="0.35">
      <c r="B158" s="117"/>
      <c r="C158" s="118"/>
      <c r="D158" s="92"/>
    </row>
    <row r="159" spans="2:4" ht="12.75" customHeight="1" x14ac:dyDescent="0.35">
      <c r="B159" s="117"/>
      <c r="C159" s="118"/>
      <c r="D159" s="92"/>
    </row>
    <row r="160" spans="2:4" ht="12.75" customHeight="1" x14ac:dyDescent="0.35">
      <c r="B160" s="117"/>
      <c r="C160" s="118"/>
      <c r="D160" s="92"/>
    </row>
    <row r="161" spans="2:4" ht="12.75" customHeight="1" x14ac:dyDescent="0.35">
      <c r="B161" s="117"/>
      <c r="C161" s="118"/>
      <c r="D161" s="92"/>
    </row>
    <row r="162" spans="2:4" ht="12.75" customHeight="1" x14ac:dyDescent="0.35">
      <c r="B162" s="117"/>
      <c r="C162" s="118"/>
      <c r="D162" s="92"/>
    </row>
    <row r="163" spans="2:4" ht="12.75" customHeight="1" x14ac:dyDescent="0.35">
      <c r="B163" s="117"/>
      <c r="C163" s="118"/>
      <c r="D163" s="92"/>
    </row>
    <row r="164" spans="2:4" ht="12.75" customHeight="1" x14ac:dyDescent="0.35">
      <c r="B164" s="117"/>
      <c r="C164" s="118"/>
      <c r="D164" s="92"/>
    </row>
    <row r="165" spans="2:4" ht="12.75" customHeight="1" x14ac:dyDescent="0.35">
      <c r="B165" s="117"/>
      <c r="C165" s="118"/>
      <c r="D165" s="92"/>
    </row>
    <row r="166" spans="2:4" ht="12.75" customHeight="1" x14ac:dyDescent="0.35">
      <c r="B166" s="117"/>
      <c r="C166" s="118"/>
      <c r="D166" s="92"/>
    </row>
    <row r="167" spans="2:4" ht="12.75" customHeight="1" x14ac:dyDescent="0.35">
      <c r="B167" s="117"/>
      <c r="C167" s="118"/>
      <c r="D167" s="92"/>
    </row>
    <row r="168" spans="2:4" ht="12.75" customHeight="1" x14ac:dyDescent="0.35">
      <c r="B168" s="117"/>
      <c r="C168" s="118"/>
      <c r="D168" s="92"/>
    </row>
    <row r="169" spans="2:4" ht="12.75" customHeight="1" x14ac:dyDescent="0.35">
      <c r="B169" s="117"/>
      <c r="C169" s="118"/>
      <c r="D169" s="92"/>
    </row>
    <row r="170" spans="2:4" ht="12.75" customHeight="1" x14ac:dyDescent="0.35">
      <c r="B170" s="117"/>
      <c r="C170" s="118"/>
      <c r="D170" s="92"/>
    </row>
    <row r="171" spans="2:4" ht="12.75" customHeight="1" x14ac:dyDescent="0.35">
      <c r="B171" s="117"/>
      <c r="C171" s="118"/>
      <c r="D171" s="92"/>
    </row>
    <row r="172" spans="2:4" ht="12.75" customHeight="1" x14ac:dyDescent="0.35">
      <c r="B172" s="117"/>
      <c r="C172" s="118"/>
      <c r="D172" s="92"/>
    </row>
    <row r="173" spans="2:4" ht="12.75" customHeight="1" x14ac:dyDescent="0.35">
      <c r="B173" s="117"/>
      <c r="C173" s="118"/>
      <c r="D173" s="92"/>
    </row>
    <row r="174" spans="2:4" ht="12.75" customHeight="1" x14ac:dyDescent="0.35">
      <c r="B174" s="117"/>
      <c r="C174" s="118"/>
      <c r="D174" s="92"/>
    </row>
    <row r="175" spans="2:4" ht="12.75" customHeight="1" x14ac:dyDescent="0.35">
      <c r="B175" s="117"/>
      <c r="C175" s="118"/>
      <c r="D175" s="92"/>
    </row>
    <row r="176" spans="2:4" ht="12.75" customHeight="1" x14ac:dyDescent="0.35">
      <c r="B176" s="117"/>
      <c r="C176" s="118"/>
      <c r="D176" s="92"/>
    </row>
    <row r="177" spans="2:4" ht="12.75" customHeight="1" x14ac:dyDescent="0.35">
      <c r="B177" s="117"/>
      <c r="C177" s="118"/>
      <c r="D177" s="92"/>
    </row>
    <row r="178" spans="2:4" ht="12.75" customHeight="1" x14ac:dyDescent="0.35">
      <c r="B178" s="117"/>
      <c r="C178" s="118"/>
      <c r="D178" s="92"/>
    </row>
    <row r="179" spans="2:4" ht="12.75" customHeight="1" x14ac:dyDescent="0.35">
      <c r="B179" s="117"/>
      <c r="C179" s="118"/>
      <c r="D179" s="92"/>
    </row>
    <row r="180" spans="2:4" ht="12.75" customHeight="1" x14ac:dyDescent="0.35">
      <c r="B180" s="117"/>
      <c r="C180" s="118"/>
      <c r="D180" s="92"/>
    </row>
    <row r="181" spans="2:4" ht="12.75" customHeight="1" x14ac:dyDescent="0.35">
      <c r="B181" s="117"/>
      <c r="C181" s="118"/>
      <c r="D181" s="92"/>
    </row>
    <row r="182" spans="2:4" ht="12.75" customHeight="1" x14ac:dyDescent="0.35">
      <c r="B182" s="117"/>
      <c r="C182" s="118"/>
      <c r="D182" s="92"/>
    </row>
    <row r="183" spans="2:4" ht="12.75" customHeight="1" x14ac:dyDescent="0.35">
      <c r="B183" s="117"/>
      <c r="C183" s="118"/>
      <c r="D183" s="92"/>
    </row>
    <row r="184" spans="2:4" ht="12.75" customHeight="1" x14ac:dyDescent="0.35">
      <c r="B184" s="117"/>
      <c r="C184" s="118"/>
      <c r="D184" s="92"/>
    </row>
    <row r="185" spans="2:4" ht="12.75" customHeight="1" x14ac:dyDescent="0.35">
      <c r="B185" s="117"/>
      <c r="C185" s="118"/>
      <c r="D185" s="92"/>
    </row>
    <row r="186" spans="2:4" ht="12.75" customHeight="1" x14ac:dyDescent="0.35">
      <c r="B186" s="117"/>
      <c r="C186" s="118"/>
      <c r="D186" s="92"/>
    </row>
    <row r="187" spans="2:4" ht="12.75" customHeight="1" x14ac:dyDescent="0.35">
      <c r="B187" s="117"/>
      <c r="C187" s="118"/>
      <c r="D187" s="92"/>
    </row>
    <row r="188" spans="2:4" ht="12.75" customHeight="1" x14ac:dyDescent="0.35">
      <c r="B188" s="117"/>
      <c r="C188" s="118"/>
      <c r="D188" s="92"/>
    </row>
    <row r="189" spans="2:4" ht="12.75" customHeight="1" x14ac:dyDescent="0.35">
      <c r="B189" s="117"/>
      <c r="C189" s="118"/>
      <c r="D189" s="92"/>
    </row>
    <row r="190" spans="2:4" ht="12.75" customHeight="1" x14ac:dyDescent="0.35">
      <c r="B190" s="117"/>
      <c r="C190" s="118"/>
      <c r="D190" s="92"/>
    </row>
    <row r="191" spans="2:4" ht="12.75" customHeight="1" x14ac:dyDescent="0.35">
      <c r="B191" s="117"/>
      <c r="C191" s="118"/>
      <c r="D191" s="92"/>
    </row>
    <row r="192" spans="2:4" ht="12.75" customHeight="1" x14ac:dyDescent="0.35">
      <c r="B192" s="117"/>
      <c r="C192" s="118"/>
      <c r="D192" s="92"/>
    </row>
    <row r="193" spans="2:4" ht="12.75" customHeight="1" x14ac:dyDescent="0.35">
      <c r="B193" s="117"/>
      <c r="C193" s="118"/>
      <c r="D193" s="92"/>
    </row>
    <row r="194" spans="2:4" ht="12.75" customHeight="1" x14ac:dyDescent="0.35">
      <c r="B194" s="117"/>
      <c r="C194" s="118"/>
      <c r="D194" s="92"/>
    </row>
    <row r="195" spans="2:4" ht="12.75" customHeight="1" x14ac:dyDescent="0.35">
      <c r="B195" s="117"/>
      <c r="C195" s="118"/>
      <c r="D195" s="92"/>
    </row>
    <row r="196" spans="2:4" ht="12.75" customHeight="1" x14ac:dyDescent="0.35">
      <c r="B196" s="117"/>
      <c r="C196" s="118"/>
      <c r="D196" s="92"/>
    </row>
    <row r="197" spans="2:4" ht="12.75" customHeight="1" x14ac:dyDescent="0.35">
      <c r="B197" s="117"/>
      <c r="C197" s="118"/>
      <c r="D197" s="92"/>
    </row>
    <row r="198" spans="2:4" ht="12.75" customHeight="1" x14ac:dyDescent="0.35">
      <c r="B198" s="117"/>
      <c r="C198" s="118"/>
      <c r="D198" s="92"/>
    </row>
    <row r="199" spans="2:4" ht="12.75" customHeight="1" x14ac:dyDescent="0.35">
      <c r="B199" s="117"/>
      <c r="C199" s="118"/>
      <c r="D199" s="92"/>
    </row>
    <row r="200" spans="2:4" ht="12.75" customHeight="1" x14ac:dyDescent="0.35">
      <c r="B200" s="117"/>
      <c r="C200" s="118"/>
      <c r="D200" s="92"/>
    </row>
    <row r="201" spans="2:4" ht="12.75" customHeight="1" x14ac:dyDescent="0.35">
      <c r="B201" s="117"/>
      <c r="C201" s="118"/>
      <c r="D201" s="92"/>
    </row>
    <row r="202" spans="2:4" ht="12.75" customHeight="1" x14ac:dyDescent="0.35">
      <c r="B202" s="117"/>
      <c r="C202" s="118"/>
      <c r="D202" s="92"/>
    </row>
    <row r="203" spans="2:4" ht="12.75" customHeight="1" x14ac:dyDescent="0.35">
      <c r="B203" s="117"/>
      <c r="C203" s="118"/>
      <c r="D203" s="92"/>
    </row>
    <row r="204" spans="2:4" ht="12.75" customHeight="1" x14ac:dyDescent="0.35">
      <c r="B204" s="117"/>
      <c r="C204" s="118"/>
      <c r="D204" s="92"/>
    </row>
    <row r="205" spans="2:4" ht="12.75" customHeight="1" x14ac:dyDescent="0.35">
      <c r="B205" s="117"/>
      <c r="C205" s="118"/>
      <c r="D205" s="92"/>
    </row>
    <row r="206" spans="2:4" ht="12.75" customHeight="1" x14ac:dyDescent="0.35">
      <c r="B206" s="117"/>
      <c r="C206" s="118"/>
      <c r="D206" s="92"/>
    </row>
    <row r="207" spans="2:4" ht="12.75" customHeight="1" x14ac:dyDescent="0.35">
      <c r="B207" s="117"/>
      <c r="C207" s="118"/>
      <c r="D207" s="92"/>
    </row>
    <row r="208" spans="2:4" ht="12.75" customHeight="1" x14ac:dyDescent="0.35">
      <c r="B208" s="117"/>
      <c r="C208" s="118"/>
      <c r="D208" s="92"/>
    </row>
    <row r="209" spans="2:4" ht="12.75" customHeight="1" x14ac:dyDescent="0.35">
      <c r="B209" s="117"/>
      <c r="C209" s="118"/>
      <c r="D209" s="92"/>
    </row>
    <row r="210" spans="2:4" ht="12.75" customHeight="1" x14ac:dyDescent="0.35">
      <c r="B210" s="117"/>
      <c r="C210" s="118"/>
      <c r="D210" s="92"/>
    </row>
    <row r="211" spans="2:4" ht="12.75" customHeight="1" x14ac:dyDescent="0.35">
      <c r="B211" s="117"/>
      <c r="C211" s="118"/>
      <c r="D211" s="92"/>
    </row>
    <row r="212" spans="2:4" ht="12.75" customHeight="1" x14ac:dyDescent="0.35">
      <c r="B212" s="117"/>
      <c r="C212" s="118"/>
      <c r="D212" s="92"/>
    </row>
    <row r="213" spans="2:4" ht="12.75" customHeight="1" x14ac:dyDescent="0.35">
      <c r="B213" s="117"/>
      <c r="C213" s="118"/>
      <c r="D213" s="92"/>
    </row>
    <row r="214" spans="2:4" ht="12.75" customHeight="1" x14ac:dyDescent="0.35">
      <c r="B214" s="117"/>
      <c r="C214" s="118"/>
      <c r="D214" s="92"/>
    </row>
    <row r="215" spans="2:4" ht="12.75" customHeight="1" x14ac:dyDescent="0.35">
      <c r="B215" s="117"/>
      <c r="C215" s="118"/>
      <c r="D215" s="92"/>
    </row>
    <row r="216" spans="2:4" ht="12.75" customHeight="1" x14ac:dyDescent="0.35">
      <c r="B216" s="117"/>
      <c r="C216" s="118"/>
      <c r="D216" s="92"/>
    </row>
    <row r="217" spans="2:4" ht="12.75" customHeight="1" x14ac:dyDescent="0.35">
      <c r="B217" s="117"/>
      <c r="C217" s="118"/>
      <c r="D217" s="92"/>
    </row>
    <row r="218" spans="2:4" ht="12.75" customHeight="1" x14ac:dyDescent="0.35">
      <c r="B218" s="117"/>
      <c r="C218" s="118"/>
      <c r="D218" s="92"/>
    </row>
    <row r="219" spans="2:4" ht="12.75" customHeight="1" x14ac:dyDescent="0.35">
      <c r="B219" s="117"/>
      <c r="C219" s="118"/>
      <c r="D219" s="92"/>
    </row>
    <row r="220" spans="2:4" ht="12.75" customHeight="1" x14ac:dyDescent="0.35">
      <c r="B220" s="117"/>
      <c r="C220" s="118"/>
      <c r="D220" s="92"/>
    </row>
    <row r="221" spans="2:4" ht="12.75" customHeight="1" x14ac:dyDescent="0.35">
      <c r="B221" s="117"/>
      <c r="C221" s="118"/>
      <c r="D221" s="92"/>
    </row>
    <row r="222" spans="2:4" ht="12.75" customHeight="1" x14ac:dyDescent="0.35">
      <c r="B222" s="117"/>
      <c r="C222" s="118"/>
      <c r="D222" s="92"/>
    </row>
    <row r="223" spans="2:4" ht="12.75" customHeight="1" x14ac:dyDescent="0.35">
      <c r="B223" s="117"/>
      <c r="C223" s="118"/>
      <c r="D223" s="92"/>
    </row>
    <row r="224" spans="2:4" ht="12.75" customHeight="1" x14ac:dyDescent="0.35">
      <c r="B224" s="117"/>
      <c r="C224" s="118"/>
      <c r="D224" s="92"/>
    </row>
    <row r="225" spans="2:4" ht="12.75" customHeight="1" x14ac:dyDescent="0.35">
      <c r="B225" s="117"/>
      <c r="C225" s="118"/>
      <c r="D225" s="92"/>
    </row>
    <row r="226" spans="2:4" ht="12.75" customHeight="1" x14ac:dyDescent="0.35">
      <c r="B226" s="117"/>
      <c r="C226" s="118"/>
      <c r="D226" s="92"/>
    </row>
    <row r="227" spans="2:4" ht="12.75" customHeight="1" x14ac:dyDescent="0.35">
      <c r="B227" s="117"/>
      <c r="C227" s="118"/>
      <c r="D227" s="92"/>
    </row>
    <row r="228" spans="2:4" ht="12.75" customHeight="1" x14ac:dyDescent="0.35">
      <c r="B228" s="117"/>
      <c r="C228" s="118"/>
      <c r="D228" s="92"/>
    </row>
    <row r="229" spans="2:4" ht="12.75" customHeight="1" x14ac:dyDescent="0.35">
      <c r="B229" s="117"/>
      <c r="C229" s="118"/>
      <c r="D229" s="92"/>
    </row>
    <row r="230" spans="2:4" ht="12.75" customHeight="1" x14ac:dyDescent="0.35">
      <c r="B230" s="117"/>
      <c r="C230" s="118"/>
      <c r="D230" s="92"/>
    </row>
    <row r="231" spans="2:4" ht="15.75" customHeight="1" x14ac:dyDescent="0.35"/>
    <row r="232" spans="2:4" ht="15.75" customHeight="1" x14ac:dyDescent="0.35"/>
    <row r="233" spans="2:4" ht="15.75" customHeight="1" x14ac:dyDescent="0.35"/>
    <row r="234" spans="2:4" ht="15.75" customHeight="1" x14ac:dyDescent="0.35"/>
    <row r="235" spans="2:4" ht="15.75" customHeight="1" x14ac:dyDescent="0.35"/>
    <row r="236" spans="2:4" ht="15.75" customHeight="1" x14ac:dyDescent="0.35"/>
    <row r="237" spans="2:4" ht="15.75" customHeight="1" x14ac:dyDescent="0.35"/>
    <row r="238" spans="2:4" ht="15.75" customHeight="1" x14ac:dyDescent="0.35"/>
    <row r="239" spans="2:4" ht="15.75" customHeight="1" x14ac:dyDescent="0.35"/>
    <row r="240" spans="2:4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</sheetData>
  <autoFilter ref="B4:C4" xr:uid="{00000000-0009-0000-0000-000000000000}">
    <sortState xmlns:xlrd2="http://schemas.microsoft.com/office/spreadsheetml/2017/richdata2" ref="B4:C4">
      <sortCondition ref="C4"/>
    </sortState>
  </autoFilter>
  <mergeCells count="8">
    <mergeCell ref="F5:K6"/>
    <mergeCell ref="B28:E29"/>
    <mergeCell ref="B30:E31"/>
    <mergeCell ref="B32:E32"/>
    <mergeCell ref="B3:E3"/>
    <mergeCell ref="B5:B10"/>
    <mergeCell ref="B14:E14"/>
    <mergeCell ref="B26:E27"/>
  </mergeCells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Formula Writing</vt:lpstr>
      <vt:lpstr>Projections</vt:lpstr>
      <vt:lpstr>Scenario Manager</vt:lpstr>
      <vt:lpstr>NPV</vt:lpstr>
      <vt:lpstr>IRR</vt:lpstr>
      <vt:lpstr>VBA</vt:lpstr>
      <vt:lpstr>Stocks Analysis</vt:lpstr>
      <vt:lpstr>Standard Deviation</vt:lpstr>
      <vt:lpstr>array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KAREY WONG</cp:lastModifiedBy>
  <dcterms:modified xsi:type="dcterms:W3CDTF">2023-02-09T05:27:21Z</dcterms:modified>
</cp:coreProperties>
</file>