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kare\OneDrive\Desktop\2) Consulting\Hogan\"/>
    </mc:Choice>
  </mc:AlternateContent>
  <xr:revisionPtr revIDLastSave="0" documentId="13_ncr:1_{04376DC1-F19C-44D2-A769-A3007510B77F}" xr6:coauthVersionLast="47" xr6:coauthVersionMax="47" xr10:uidLastSave="{00000000-0000-0000-0000-000000000000}"/>
  <bookViews>
    <workbookView xWindow="-110" yWindow="-110" windowWidth="38620" windowHeight="21100" activeTab="1" xr2:uid="{96E9E096-924C-40F0-9D07-41941820CE90}"/>
  </bookViews>
  <sheets>
    <sheet name="STI" sheetId="1" r:id="rId1"/>
    <sheet name="LTI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3" l="1"/>
  <c r="L35" i="3"/>
  <c r="M35" i="3"/>
  <c r="K38" i="3"/>
  <c r="L38" i="3"/>
  <c r="M38" i="3"/>
  <c r="H25" i="3"/>
  <c r="K25" i="3"/>
  <c r="K29" i="3"/>
  <c r="K40" i="3"/>
  <c r="L40" i="3"/>
  <c r="M40" i="3"/>
  <c r="K41" i="3"/>
  <c r="L41" i="3"/>
  <c r="M41" i="3"/>
  <c r="H24" i="3"/>
  <c r="G24" i="3"/>
  <c r="J24" i="3"/>
  <c r="J29" i="3"/>
  <c r="J40" i="3"/>
  <c r="H23" i="3"/>
  <c r="F23" i="3"/>
  <c r="G23" i="3"/>
  <c r="I23" i="3"/>
  <c r="I29" i="3"/>
  <c r="I40" i="3"/>
  <c r="M29" i="3"/>
  <c r="M27" i="3"/>
  <c r="L29" i="3"/>
  <c r="J28" i="3"/>
  <c r="I28" i="3"/>
  <c r="L26" i="3"/>
  <c r="L27" i="3"/>
  <c r="K27" i="3"/>
  <c r="J27" i="3"/>
  <c r="K26" i="3"/>
  <c r="J26" i="3"/>
  <c r="I26" i="3"/>
  <c r="J25" i="3"/>
  <c r="I25" i="3"/>
  <c r="I24" i="3"/>
  <c r="J15" i="3"/>
  <c r="G14" i="3"/>
  <c r="H17" i="3"/>
  <c r="H16" i="3"/>
  <c r="H15" i="3"/>
  <c r="G17" i="3"/>
  <c r="G16" i="3"/>
  <c r="G15" i="3"/>
  <c r="E27" i="3"/>
  <c r="E26" i="3"/>
  <c r="E25" i="3"/>
  <c r="E24" i="3"/>
  <c r="F14" i="3"/>
  <c r="F15" i="3"/>
  <c r="F16" i="3"/>
  <c r="F17" i="3"/>
  <c r="E23" i="3"/>
  <c r="C6" i="3"/>
  <c r="C8" i="3"/>
  <c r="AG10" i="3"/>
  <c r="AJ10" i="3"/>
  <c r="AI11" i="3"/>
  <c r="AJ11" i="3"/>
  <c r="AL11" i="3"/>
  <c r="AG12" i="3"/>
  <c r="AI12" i="3"/>
  <c r="AJ12" i="3"/>
  <c r="AL12" i="3"/>
  <c r="AI13" i="3"/>
  <c r="AJ13" i="3"/>
  <c r="AL13" i="3"/>
  <c r="AM13" i="3"/>
  <c r="M15" i="3"/>
  <c r="K15" i="3"/>
  <c r="I15" i="3"/>
  <c r="L15" i="3"/>
  <c r="AG15" i="3"/>
  <c r="M16" i="3"/>
  <c r="K16" i="3"/>
  <c r="I16" i="3"/>
  <c r="J16" i="3"/>
  <c r="L16" i="3"/>
  <c r="M17" i="3"/>
  <c r="K17" i="3"/>
  <c r="I17" i="3"/>
  <c r="J17" i="3"/>
  <c r="L17" i="3"/>
  <c r="G18" i="3"/>
  <c r="K18" i="3"/>
  <c r="M18" i="3"/>
  <c r="E35" i="3"/>
  <c r="F35" i="3"/>
  <c r="G35" i="3"/>
  <c r="H35" i="3"/>
  <c r="I35" i="3"/>
  <c r="J35" i="3"/>
  <c r="C38" i="3"/>
  <c r="E38" i="3"/>
  <c r="F38" i="3"/>
  <c r="G38" i="3"/>
  <c r="H38" i="3"/>
  <c r="I38" i="3"/>
  <c r="J38" i="3"/>
  <c r="C39" i="3"/>
  <c r="C41" i="3"/>
  <c r="E41" i="3"/>
  <c r="F41" i="3"/>
  <c r="G41" i="3"/>
  <c r="H41" i="3"/>
  <c r="I41" i="3"/>
  <c r="J41" i="3"/>
  <c r="T49" i="3"/>
  <c r="X49" i="3"/>
  <c r="T50" i="3"/>
  <c r="U50" i="3"/>
  <c r="E16" i="1"/>
  <c r="E15" i="1"/>
  <c r="I16" i="1"/>
  <c r="I15" i="1"/>
  <c r="I14" i="1"/>
  <c r="H10" i="1"/>
  <c r="I10" i="1"/>
  <c r="E14" i="1"/>
  <c r="E10" i="1"/>
  <c r="E9" i="1"/>
  <c r="K14" i="1"/>
  <c r="K15" i="1"/>
  <c r="K16" i="1"/>
  <c r="K18" i="1"/>
  <c r="K25" i="1"/>
  <c r="K26" i="1"/>
  <c r="K27" i="1"/>
  <c r="H9" i="1"/>
  <c r="I9" i="1"/>
  <c r="K9" i="1"/>
  <c r="K10" i="1"/>
  <c r="K11" i="1"/>
  <c r="K21" i="1"/>
  <c r="K22" i="1"/>
  <c r="K23" i="1"/>
  <c r="K29" i="1"/>
  <c r="I18" i="1"/>
  <c r="K30" i="1"/>
  <c r="I19" i="1"/>
  <c r="C23" i="1"/>
  <c r="C25" i="1"/>
</calcChain>
</file>

<file path=xl/sharedStrings.xml><?xml version="1.0" encoding="utf-8"?>
<sst xmlns="http://schemas.openxmlformats.org/spreadsheetml/2006/main" count="131" uniqueCount="90">
  <si>
    <t>Revenue</t>
  </si>
  <si>
    <t>Net Income</t>
  </si>
  <si>
    <t>Weight</t>
  </si>
  <si>
    <t>Goal 
($000)</t>
  </si>
  <si>
    <t>Sub-Wgt</t>
  </si>
  <si>
    <t>Target</t>
  </si>
  <si>
    <t>Max</t>
  </si>
  <si>
    <t>Payout (as % of Target Bonus)</t>
  </si>
  <si>
    <t>ACTUAL
($000)</t>
  </si>
  <si>
    <t>Objective 1</t>
  </si>
  <si>
    <t>Objective 2</t>
  </si>
  <si>
    <t>Objective 3</t>
  </si>
  <si>
    <t>CEO Incentive Plan Funding and Payout</t>
  </si>
  <si>
    <t>Actual</t>
  </si>
  <si>
    <t>STRATEGIC Measures</t>
  </si>
  <si>
    <t>FINANCIAL Measures</t>
  </si>
  <si>
    <t>Attainment (% of Goal)</t>
  </si>
  <si>
    <t>Threshold</t>
  </si>
  <si>
    <t>&lt; Threshold</t>
  </si>
  <si>
    <t>Attainment %</t>
  </si>
  <si>
    <t>ACTUAL PAYOUT 
(% of Target)</t>
  </si>
  <si>
    <t>TOTAL PAYOUT 
(% of Target)</t>
  </si>
  <si>
    <t>CEO Compensation</t>
  </si>
  <si>
    <t>Base</t>
  </si>
  <si>
    <t>Target %</t>
  </si>
  <si>
    <t>Target $</t>
  </si>
  <si>
    <t>Target Cash</t>
  </si>
  <si>
    <t>Annual LTI</t>
  </si>
  <si>
    <t>Target Direct</t>
  </si>
  <si>
    <t>Bonus ($)</t>
  </si>
  <si>
    <t>Set at start of FY</t>
  </si>
  <si>
    <t>Alternate calc</t>
  </si>
  <si>
    <t>Financial</t>
  </si>
  <si>
    <t>Strategic</t>
  </si>
  <si>
    <t>Financial Total</t>
  </si>
  <si>
    <t>Strategic Total</t>
  </si>
  <si>
    <t>Combined</t>
  </si>
  <si>
    <t>Check</t>
  </si>
  <si>
    <t>Weight on TOTAL</t>
  </si>
  <si>
    <t>HIGH</t>
  </si>
  <si>
    <t>TARGET</t>
  </si>
  <si>
    <t>LOW</t>
  </si>
  <si>
    <t>Payout Range as % of Target</t>
  </si>
  <si>
    <t>LTI</t>
  </si>
  <si>
    <t xml:space="preserve">Annual Incentive </t>
  </si>
  <si>
    <t>Annual LTIP</t>
  </si>
  <si>
    <t>Target / Actual $</t>
  </si>
  <si>
    <t>Actual Payout %</t>
  </si>
  <si>
    <t>Chief Executive Officer</t>
  </si>
  <si>
    <t>ESTIMATED REALIZED COMPENSATION</t>
  </si>
  <si>
    <t>Target Comp</t>
  </si>
  <si>
    <t>Jan 2026</t>
  </si>
  <si>
    <t>Award Target Value</t>
  </si>
  <si>
    <t>Award Date</t>
  </si>
  <si>
    <t>LT share</t>
  </si>
  <si>
    <t>LTI Value</t>
  </si>
  <si>
    <t>Cumulative Value (Bank)</t>
  </si>
  <si>
    <t>Distribution</t>
  </si>
  <si>
    <t>Post LTI Net Income ($M)</t>
  </si>
  <si>
    <t>Cumulative NI Growth</t>
  </si>
  <si>
    <t>Annual NI Growth ($M)</t>
  </si>
  <si>
    <t>Net Income ($M)</t>
  </si>
  <si>
    <t>Leadership</t>
  </si>
  <si>
    <t>CEO</t>
  </si>
  <si>
    <t>Valuation increase</t>
  </si>
  <si>
    <t>Valuation</t>
  </si>
  <si>
    <t>Annual Increase in Net Income</t>
  </si>
  <si>
    <t>Board meeting</t>
  </si>
  <si>
    <t>LTIP MODEL ($M)</t>
  </si>
  <si>
    <t>Net Inc $M</t>
  </si>
  <si>
    <t>Models</t>
  </si>
  <si>
    <t>Documents</t>
  </si>
  <si>
    <t>VALUATION APPROACH (multiple of Net Income)</t>
  </si>
  <si>
    <t>Presentation</t>
  </si>
  <si>
    <t>NOTES</t>
  </si>
  <si>
    <t>Annual</t>
  </si>
  <si>
    <t>Jan 2027</t>
  </si>
  <si>
    <t>Jan 2028</t>
  </si>
  <si>
    <t>Jan 2029</t>
  </si>
  <si>
    <t>Jan 2030</t>
  </si>
  <si>
    <t xml:space="preserve">Vesting per Yr:  </t>
  </si>
  <si>
    <t xml:space="preserve"> Goal </t>
  </si>
  <si>
    <r>
      <rPr>
        <b/>
        <u/>
        <sz val="11"/>
        <color theme="1"/>
        <rFont val="Aptos Narrow"/>
        <family val="2"/>
        <scheme val="minor"/>
      </rPr>
      <t>PERFORMANCE</t>
    </r>
    <r>
      <rPr>
        <b/>
        <sz val="11"/>
        <color theme="1"/>
        <rFont val="Aptos Narrow"/>
        <family val="2"/>
        <scheme val="minor"/>
      </rPr>
      <t xml:space="preserve">
Attainment (% of Goal)</t>
    </r>
  </si>
  <si>
    <r>
      <rPr>
        <b/>
        <u/>
        <sz val="11"/>
        <color theme="1"/>
        <rFont val="Aptos Narrow"/>
        <family val="2"/>
        <scheme val="minor"/>
      </rPr>
      <t>PAY</t>
    </r>
    <r>
      <rPr>
        <b/>
        <sz val="11"/>
        <color theme="1"/>
        <rFont val="Aptos Narrow"/>
        <family val="2"/>
        <scheme val="minor"/>
      </rPr>
      <t xml:space="preserve">
Bonus Award (as % of Target Bonus)</t>
    </r>
  </si>
  <si>
    <t>GRANT SCHEDULE</t>
  </si>
  <si>
    <t>Payout Value</t>
  </si>
  <si>
    <r>
      <rPr>
        <b/>
        <sz val="11"/>
        <color rgb="FFFF0000"/>
        <rFont val="Aptos Narrow"/>
        <family val="2"/>
        <scheme val="minor"/>
      </rPr>
      <t>Tracked</t>
    </r>
    <r>
      <rPr>
        <b/>
        <sz val="11"/>
        <color theme="1"/>
        <rFont val="Aptos Narrow"/>
        <family val="2"/>
        <scheme val="minor"/>
      </rPr>
      <t xml:space="preserve"> Value</t>
    </r>
  </si>
  <si>
    <r>
      <rPr>
        <sz val="11"/>
        <color rgb="FFFF0000"/>
        <rFont val="Aptos Narrow"/>
        <family val="2"/>
        <scheme val="minor"/>
      </rPr>
      <t>Tracked</t>
    </r>
    <r>
      <rPr>
        <b/>
        <sz val="11"/>
        <color theme="1"/>
        <rFont val="Aptos Narrow"/>
        <family val="2"/>
        <scheme val="minor"/>
      </rPr>
      <t xml:space="preserve">  Value</t>
    </r>
  </si>
  <si>
    <r>
      <rPr>
        <b/>
        <sz val="11"/>
        <color rgb="FFFF0000"/>
        <rFont val="Aptos Narrow"/>
        <family val="2"/>
        <scheme val="minor"/>
      </rPr>
      <t>NOTE</t>
    </r>
    <r>
      <rPr>
        <sz val="11"/>
        <color theme="1"/>
        <rFont val="Aptos Narrow"/>
        <family val="2"/>
        <scheme val="minor"/>
      </rPr>
      <t>:  There are likely 409A issues if the plan shows "vesting" and doesn't pay out within 2.5 months of that vest date.</t>
    </r>
  </si>
  <si>
    <r>
      <t xml:space="preserve">Better to </t>
    </r>
    <r>
      <rPr>
        <b/>
        <sz val="11"/>
        <color rgb="FFFF0000"/>
        <rFont val="Aptos Narrow"/>
        <family val="2"/>
        <scheme val="minor"/>
      </rPr>
      <t>TRACK</t>
    </r>
    <r>
      <rPr>
        <sz val="11"/>
        <color theme="1"/>
        <rFont val="Aptos Narrow"/>
        <family val="2"/>
        <scheme val="minor"/>
      </rPr>
      <t xml:space="preserve"> the value of a given year but </t>
    </r>
    <r>
      <rPr>
        <b/>
        <sz val="11"/>
        <color rgb="FFFF0000"/>
        <rFont val="Aptos Narrow"/>
        <family val="2"/>
        <scheme val="minor"/>
      </rPr>
      <t>DO NOT VEST</t>
    </r>
    <r>
      <rPr>
        <sz val="11"/>
        <color theme="1"/>
        <rFont val="Aptos Narrow"/>
        <family val="2"/>
        <scheme val="minor"/>
      </rPr>
      <t xml:space="preserve"> it (to avoid 409A penalties).  Then pay out the total based on three year's worth of performance.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</si>
</sst>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_);[Red]\(&quot;$&quot;#,##0.0\)"/>
    <numFmt numFmtId="168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4" fillId="2" borderId="5" xfId="0" applyNumberFormat="1" applyFont="1" applyFill="1" applyBorder="1" applyAlignment="1">
      <alignment horizontal="center" vertical="center"/>
    </xf>
    <xf numFmtId="9" fontId="4" fillId="2" borderId="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6" fontId="4" fillId="2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6" fontId="4" fillId="4" borderId="10" xfId="0" applyNumberFormat="1" applyFont="1" applyFill="1" applyBorder="1" applyAlignment="1">
      <alignment horizontal="center" vertical="center"/>
    </xf>
    <xf numFmtId="9" fontId="0" fillId="0" borderId="0" xfId="3" applyFont="1" applyAlignment="1">
      <alignment vertical="center"/>
    </xf>
    <xf numFmtId="10" fontId="0" fillId="0" borderId="0" xfId="0" applyNumberFormat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0" xfId="0" quotePrefix="1" applyAlignment="1">
      <alignment vertical="center"/>
    </xf>
    <xf numFmtId="6" fontId="4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9" fontId="4" fillId="0" borderId="1" xfId="3" quotePrefix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0" fontId="4" fillId="3" borderId="7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4" fillId="0" borderId="1" xfId="3" quotePrefix="1" applyNumberFormat="1" applyFont="1" applyBorder="1" applyAlignment="1">
      <alignment horizontal="center" vertical="center"/>
    </xf>
    <xf numFmtId="9" fontId="4" fillId="5" borderId="5" xfId="0" applyNumberFormat="1" applyFont="1" applyFill="1" applyBorder="1" applyAlignment="1">
      <alignment horizontal="center" vertical="center"/>
    </xf>
    <xf numFmtId="9" fontId="4" fillId="5" borderId="6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6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6" fontId="0" fillId="0" borderId="16" xfId="0" applyNumberFormat="1" applyBorder="1" applyAlignment="1">
      <alignment horizontal="center" vertical="center"/>
    </xf>
    <xf numFmtId="6" fontId="4" fillId="0" borderId="15" xfId="0" applyNumberFormat="1" applyFont="1" applyBorder="1" applyAlignment="1">
      <alignment horizontal="center" vertical="center"/>
    </xf>
    <xf numFmtId="6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9" fontId="6" fillId="6" borderId="1" xfId="0" applyNumberFormat="1" applyFont="1" applyFill="1" applyBorder="1" applyAlignment="1">
      <alignment horizontal="center"/>
    </xf>
    <xf numFmtId="0" fontId="4" fillId="0" borderId="0" xfId="0" applyFont="1"/>
    <xf numFmtId="9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8" xfId="0" applyBorder="1"/>
    <xf numFmtId="6" fontId="0" fillId="0" borderId="8" xfId="0" applyNumberFormat="1" applyBorder="1"/>
    <xf numFmtId="6" fontId="0" fillId="0" borderId="2" xfId="0" applyNumberFormat="1" applyBorder="1"/>
    <xf numFmtId="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9" fontId="3" fillId="6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4" fillId="0" borderId="8" xfId="0" applyFont="1" applyBorder="1"/>
    <xf numFmtId="17" fontId="0" fillId="0" borderId="0" xfId="0" quotePrefix="1" applyNumberFormat="1"/>
    <xf numFmtId="167" fontId="0" fillId="0" borderId="0" xfId="0" applyNumberFormat="1"/>
    <xf numFmtId="168" fontId="0" fillId="0" borderId="0" xfId="2" applyNumberFormat="1" applyFont="1"/>
    <xf numFmtId="168" fontId="0" fillId="0" borderId="0" xfId="0" applyNumberFormat="1"/>
    <xf numFmtId="0" fontId="4" fillId="0" borderId="0" xfId="0" applyFont="1" applyAlignment="1">
      <alignment horizontal="center"/>
    </xf>
    <xf numFmtId="9" fontId="0" fillId="0" borderId="0" xfId="3" applyFont="1"/>
    <xf numFmtId="44" fontId="0" fillId="0" borderId="0" xfId="2" applyFont="1"/>
    <xf numFmtId="8" fontId="0" fillId="0" borderId="0" xfId="0" applyNumberFormat="1"/>
    <xf numFmtId="0" fontId="4" fillId="0" borderId="1" xfId="0" applyFont="1" applyBorder="1" applyAlignment="1">
      <alignment horizontal="center" wrapText="1"/>
    </xf>
    <xf numFmtId="9" fontId="6" fillId="6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 vertical="center" wrapText="1"/>
    </xf>
    <xf numFmtId="9" fontId="3" fillId="6" borderId="0" xfId="3" applyFont="1" applyFill="1"/>
    <xf numFmtId="0" fontId="3" fillId="6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9" fontId="0" fillId="2" borderId="1" xfId="0" applyNumberFormat="1" applyFill="1" applyBorder="1"/>
    <xf numFmtId="6" fontId="0" fillId="0" borderId="1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/>
    </xf>
    <xf numFmtId="166" fontId="0" fillId="9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6" fontId="0" fillId="8" borderId="10" xfId="0" applyNumberFormat="1" applyFill="1" applyBorder="1" applyAlignment="1">
      <alignment horizontal="right" vertical="center"/>
    </xf>
    <xf numFmtId="166" fontId="4" fillId="9" borderId="0" xfId="1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9" borderId="2" xfId="1" applyNumberFormat="1" applyFont="1" applyFill="1" applyBorder="1" applyAlignment="1">
      <alignment horizontal="center"/>
    </xf>
    <xf numFmtId="166" fontId="4" fillId="8" borderId="2" xfId="1" applyNumberFormat="1" applyFont="1" applyFill="1" applyBorder="1" applyAlignment="1">
      <alignment horizontal="center"/>
    </xf>
    <xf numFmtId="1" fontId="4" fillId="8" borderId="2" xfId="0" applyNumberFormat="1" applyFont="1" applyFill="1" applyBorder="1" applyAlignment="1">
      <alignment horizontal="center"/>
    </xf>
    <xf numFmtId="6" fontId="4" fillId="8" borderId="2" xfId="0" applyNumberFormat="1" applyFont="1" applyFill="1" applyBorder="1" applyAlignment="1">
      <alignment horizontal="center"/>
    </xf>
    <xf numFmtId="166" fontId="0" fillId="8" borderId="8" xfId="0" applyNumberFormat="1" applyFill="1" applyBorder="1"/>
    <xf numFmtId="9" fontId="6" fillId="2" borderId="0" xfId="0" applyNumberFormat="1" applyFont="1" applyFill="1" applyAlignment="1">
      <alignment horizontal="center"/>
    </xf>
    <xf numFmtId="6" fontId="6" fillId="8" borderId="10" xfId="0" applyNumberFormat="1" applyFont="1" applyFill="1" applyBorder="1" applyAlignment="1">
      <alignment horizontal="right" vertical="center"/>
    </xf>
    <xf numFmtId="166" fontId="3" fillId="9" borderId="0" xfId="1" applyNumberFormat="1" applyFont="1" applyFill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66ED-FA8F-45BA-A4E3-FE8BF8005746}">
  <dimension ref="A3:U30"/>
  <sheetViews>
    <sheetView showGridLines="0" zoomScale="70" zoomScaleNormal="70" workbookViewId="0">
      <selection activeCell="K22" sqref="K22"/>
    </sheetView>
  </sheetViews>
  <sheetFormatPr defaultColWidth="9.1796875" defaultRowHeight="14.5" outlineLevelCol="1" x14ac:dyDescent="0.35"/>
  <cols>
    <col min="1" max="1" width="9.1796875" style="4"/>
    <col min="2" max="2" width="13.26953125" style="4" customWidth="1"/>
    <col min="3" max="3" width="15" style="4" customWidth="1"/>
    <col min="4" max="4" width="9.1796875" style="4"/>
    <col min="5" max="5" width="10.54296875" style="4" customWidth="1" outlineLevel="1"/>
    <col min="6" max="8" width="13.7265625" style="4" customWidth="1"/>
    <col min="9" max="9" width="16.54296875" style="4" customWidth="1"/>
    <col min="10" max="11" width="15.453125" style="4" customWidth="1" outlineLevel="1"/>
    <col min="12" max="12" width="9.1796875" style="4"/>
    <col min="13" max="19" width="12.81640625" style="4" customWidth="1"/>
    <col min="20" max="16384" width="9.1796875" style="4"/>
  </cols>
  <sheetData>
    <row r="3" spans="1:21" x14ac:dyDescent="0.35">
      <c r="O3" s="23"/>
    </row>
    <row r="4" spans="1:21" x14ac:dyDescent="0.35">
      <c r="K4" s="20"/>
    </row>
    <row r="5" spans="1:21" x14ac:dyDescent="0.35">
      <c r="K5" s="20"/>
    </row>
    <row r="6" spans="1:21" x14ac:dyDescent="0.35">
      <c r="B6" s="13" t="s">
        <v>12</v>
      </c>
      <c r="K6" s="19"/>
      <c r="U6" s="23"/>
    </row>
    <row r="7" spans="1:21" ht="30.75" customHeight="1" x14ac:dyDescent="0.35">
      <c r="K7" s="19"/>
      <c r="M7" s="90" t="s">
        <v>82</v>
      </c>
      <c r="N7" s="90"/>
      <c r="O7" s="90"/>
      <c r="P7" s="90" t="s">
        <v>83</v>
      </c>
      <c r="Q7" s="91"/>
      <c r="R7" s="91"/>
      <c r="S7" s="91"/>
      <c r="U7" s="23"/>
    </row>
    <row r="8" spans="1:21" ht="40.5" customHeight="1" x14ac:dyDescent="0.35">
      <c r="B8" s="11" t="s">
        <v>2</v>
      </c>
      <c r="C8" s="12" t="s">
        <v>15</v>
      </c>
      <c r="D8" s="11" t="s">
        <v>4</v>
      </c>
      <c r="E8" s="12" t="s">
        <v>38</v>
      </c>
      <c r="F8" s="12" t="s">
        <v>3</v>
      </c>
      <c r="G8" s="12" t="s">
        <v>8</v>
      </c>
      <c r="H8" s="12" t="s">
        <v>19</v>
      </c>
      <c r="I8" s="12" t="s">
        <v>20</v>
      </c>
      <c r="K8" s="4" t="s">
        <v>31</v>
      </c>
      <c r="M8" s="11" t="s">
        <v>17</v>
      </c>
      <c r="N8" s="11" t="s">
        <v>5</v>
      </c>
      <c r="O8" s="11" t="s">
        <v>6</v>
      </c>
      <c r="P8" s="11" t="s">
        <v>18</v>
      </c>
      <c r="Q8" s="11" t="s">
        <v>17</v>
      </c>
      <c r="R8" s="11" t="s">
        <v>5</v>
      </c>
      <c r="S8" s="11" t="s">
        <v>6</v>
      </c>
    </row>
    <row r="9" spans="1:21" ht="54" customHeight="1" x14ac:dyDescent="0.35">
      <c r="A9" s="20"/>
      <c r="B9" s="89">
        <v>0.7</v>
      </c>
      <c r="C9" s="11" t="s">
        <v>0</v>
      </c>
      <c r="D9" s="32">
        <v>0.6</v>
      </c>
      <c r="E9" s="9">
        <f>B9*D9</f>
        <v>0.42</v>
      </c>
      <c r="F9" s="24">
        <v>65000</v>
      </c>
      <c r="G9" s="14">
        <v>65000</v>
      </c>
      <c r="H9" s="21">
        <f>IF(F9=0,"",G9/F9)</f>
        <v>1</v>
      </c>
      <c r="I9" s="26">
        <f>IF(AND(H9&gt;=N9,H9&lt;=O9),1+((H9-1)/(O9-N9))*(S9-R9),IF(AND(H9&gt;=M9,H9&lt;N9),1-((1-H9)/(N9-M9))*(R9-Q9),IF(H9&gt;O9,S9,0)))</f>
        <v>1</v>
      </c>
      <c r="J9" s="19"/>
      <c r="K9" s="16">
        <f>I9*D9</f>
        <v>0.6</v>
      </c>
      <c r="M9" s="7">
        <v>0.85</v>
      </c>
      <c r="N9" s="9">
        <v>1</v>
      </c>
      <c r="O9" s="9">
        <v>1.1499999999999999</v>
      </c>
      <c r="P9" s="9">
        <v>0</v>
      </c>
      <c r="Q9" s="9">
        <v>0.5</v>
      </c>
      <c r="R9" s="9">
        <v>1</v>
      </c>
      <c r="S9" s="9">
        <v>1.5</v>
      </c>
    </row>
    <row r="10" spans="1:21" ht="54" customHeight="1" x14ac:dyDescent="0.35">
      <c r="B10" s="89"/>
      <c r="C10" s="11" t="s">
        <v>1</v>
      </c>
      <c r="D10" s="33">
        <v>0.4</v>
      </c>
      <c r="E10" s="10">
        <f>B9*D10</f>
        <v>0.27999999999999997</v>
      </c>
      <c r="F10" s="24">
        <v>12000</v>
      </c>
      <c r="G10" s="14">
        <v>12000</v>
      </c>
      <c r="H10" s="21">
        <f>IF(F10=0,"",G10/F10)</f>
        <v>1</v>
      </c>
      <c r="I10" s="26">
        <f>IF(AND(H10&gt;=N10,H10&lt;=O10),1+((H10-1)/(O10-N10))*(S10-R10),IF(AND(H10&gt;=M10,H10&lt;N10),1-((1-H10)/(N10-M10))*(R10-Q10),IF(H10&gt;O10,S10,0)))</f>
        <v>1</v>
      </c>
      <c r="K10" s="16">
        <f>I10*D10</f>
        <v>0.4</v>
      </c>
      <c r="M10" s="7">
        <v>0.9</v>
      </c>
      <c r="N10" s="9">
        <v>1</v>
      </c>
      <c r="O10" s="9">
        <v>1.1000000000000001</v>
      </c>
      <c r="P10" s="9">
        <v>0</v>
      </c>
      <c r="Q10" s="9">
        <v>0.5</v>
      </c>
      <c r="R10" s="9">
        <v>1</v>
      </c>
      <c r="S10" s="9">
        <v>1.5</v>
      </c>
    </row>
    <row r="11" spans="1:21" ht="15.75" customHeight="1" x14ac:dyDescent="0.35">
      <c r="F11" s="25" t="s">
        <v>30</v>
      </c>
      <c r="K11" s="16">
        <f>K9+K10</f>
        <v>1</v>
      </c>
    </row>
    <row r="12" spans="1:21" ht="26.25" customHeight="1" x14ac:dyDescent="0.35">
      <c r="M12" s="90" t="s">
        <v>16</v>
      </c>
      <c r="N12" s="90"/>
      <c r="O12" s="90"/>
      <c r="P12" s="91" t="s">
        <v>7</v>
      </c>
      <c r="Q12" s="91"/>
      <c r="R12" s="91"/>
      <c r="S12" s="91"/>
    </row>
    <row r="13" spans="1:21" ht="39" customHeight="1" x14ac:dyDescent="0.35">
      <c r="B13" s="11" t="s">
        <v>2</v>
      </c>
      <c r="C13" s="12" t="s">
        <v>14</v>
      </c>
      <c r="D13" s="11" t="s">
        <v>4</v>
      </c>
      <c r="E13" s="11"/>
      <c r="F13" s="12" t="s">
        <v>81</v>
      </c>
      <c r="G13" s="12" t="s">
        <v>13</v>
      </c>
      <c r="H13" s="12" t="s">
        <v>19</v>
      </c>
      <c r="I13" s="12" t="s">
        <v>20</v>
      </c>
      <c r="M13" s="11" t="s">
        <v>17</v>
      </c>
      <c r="N13" s="11" t="s">
        <v>5</v>
      </c>
      <c r="O13" s="11" t="s">
        <v>6</v>
      </c>
      <c r="P13" s="15" t="s">
        <v>18</v>
      </c>
      <c r="Q13" s="11" t="s">
        <v>17</v>
      </c>
      <c r="R13" s="11" t="s">
        <v>5</v>
      </c>
      <c r="S13" s="11" t="s">
        <v>6</v>
      </c>
    </row>
    <row r="14" spans="1:21" ht="54" customHeight="1" x14ac:dyDescent="0.35">
      <c r="B14" s="89">
        <v>0.3</v>
      </c>
      <c r="C14" s="11" t="s">
        <v>9</v>
      </c>
      <c r="D14" s="33">
        <v>0.4</v>
      </c>
      <c r="E14" s="9">
        <f>$B$14*D14</f>
        <v>0.12</v>
      </c>
      <c r="F14" s="8"/>
      <c r="G14" s="8"/>
      <c r="H14" s="7">
        <v>0.95</v>
      </c>
      <c r="I14" s="31">
        <f>IF(AND(H14&gt;=N14,H14&lt;=O14),1+((H14-1)/(O14-N14))*(S14-R14),IF(AND(H14&gt;=M14,H14&lt;N14),1-((1-H14)/(N14-M14))*(R14-Q14),IF(H14&gt;O14,S14,0)))</f>
        <v>0.74999999999999978</v>
      </c>
      <c r="K14" s="16">
        <f t="shared" ref="K14:K16" si="0">I14*D14</f>
        <v>0.29999999999999993</v>
      </c>
      <c r="M14" s="7">
        <v>0.9</v>
      </c>
      <c r="N14" s="9">
        <v>1</v>
      </c>
      <c r="O14" s="9">
        <v>1.1000000000000001</v>
      </c>
      <c r="P14" s="9">
        <v>0</v>
      </c>
      <c r="Q14" s="9">
        <v>0.5</v>
      </c>
      <c r="R14" s="9">
        <v>1</v>
      </c>
      <c r="S14" s="9">
        <v>1.1000000000000001</v>
      </c>
    </row>
    <row r="15" spans="1:21" ht="54" customHeight="1" x14ac:dyDescent="0.35">
      <c r="B15" s="89"/>
      <c r="C15" s="11" t="s">
        <v>10</v>
      </c>
      <c r="D15" s="33">
        <v>0.3</v>
      </c>
      <c r="E15" s="9">
        <f>$B$14*D15</f>
        <v>0.09</v>
      </c>
      <c r="F15" s="8"/>
      <c r="G15" s="8"/>
      <c r="H15" s="7">
        <v>1.05</v>
      </c>
      <c r="I15" s="26">
        <f>IF(AND(H15&gt;=N15,H15&lt;=O15),1+((H15-1)/(O15-N15))*(S15-R15),IF(AND(H15&gt;=M15,H15&lt;N15),1-((1-H15)/(N15-M15))*(R15-Q15),IF(H15&gt;O15,S15,0)))</f>
        <v>1.05</v>
      </c>
      <c r="K15" s="16">
        <f t="shared" si="0"/>
        <v>0.315</v>
      </c>
      <c r="M15" s="7">
        <v>0.9</v>
      </c>
      <c r="N15" s="9">
        <v>1</v>
      </c>
      <c r="O15" s="9">
        <v>1.1000000000000001</v>
      </c>
      <c r="P15" s="9">
        <v>0</v>
      </c>
      <c r="Q15" s="9">
        <v>0.5</v>
      </c>
      <c r="R15" s="9">
        <v>1</v>
      </c>
      <c r="S15" s="9">
        <v>1.1000000000000001</v>
      </c>
    </row>
    <row r="16" spans="1:21" ht="54" customHeight="1" x14ac:dyDescent="0.35">
      <c r="B16" s="89"/>
      <c r="C16" s="11" t="s">
        <v>11</v>
      </c>
      <c r="D16" s="33">
        <v>0.3</v>
      </c>
      <c r="E16" s="9">
        <f>$B$14*D16</f>
        <v>0.09</v>
      </c>
      <c r="F16" s="8"/>
      <c r="G16" s="8"/>
      <c r="H16" s="7">
        <v>0.8</v>
      </c>
      <c r="I16" s="26">
        <f>IF(AND(H16&gt;=N16,H16&lt;=O16),1+((H16-1)/(O16-N16))*(S16-R16),IF(AND(H16&gt;=M16,H16&lt;N16),1-((1-H16)/(N16-M16))*(R16-Q16),IF(H16&gt;O16,S16,0)))</f>
        <v>0</v>
      </c>
      <c r="K16" s="16">
        <f t="shared" si="0"/>
        <v>0</v>
      </c>
      <c r="M16" s="7">
        <v>0.9</v>
      </c>
      <c r="N16" s="9">
        <v>1</v>
      </c>
      <c r="O16" s="9">
        <v>1.1000000000000001</v>
      </c>
      <c r="P16" s="9">
        <v>0</v>
      </c>
      <c r="Q16" s="9">
        <v>0.5</v>
      </c>
      <c r="R16" s="9">
        <v>1</v>
      </c>
      <c r="S16" s="9">
        <v>1.1000000000000001</v>
      </c>
    </row>
    <row r="17" spans="2:11" ht="9" customHeight="1" x14ac:dyDescent="0.35"/>
    <row r="18" spans="2:11" ht="54" customHeight="1" thickBot="1" x14ac:dyDescent="0.4">
      <c r="H18" s="12" t="s">
        <v>21</v>
      </c>
      <c r="I18" s="29">
        <f>(I9*D9+I10*D10)*B9+(I14*D14+I15*D15+I16*D16)*B14</f>
        <v>0.88449999999999995</v>
      </c>
      <c r="K18" s="16">
        <f>SUM(K14:K16)</f>
        <v>0.61499999999999999</v>
      </c>
    </row>
    <row r="19" spans="2:11" ht="23.25" customHeight="1" thickBot="1" x14ac:dyDescent="0.4">
      <c r="B19" s="87" t="s">
        <v>22</v>
      </c>
      <c r="C19" s="88"/>
      <c r="H19" s="17" t="s">
        <v>29</v>
      </c>
      <c r="I19" s="18">
        <f>C22*I18</f>
        <v>154787.5</v>
      </c>
    </row>
    <row r="20" spans="2:11" x14ac:dyDescent="0.35">
      <c r="B20" s="34" t="s">
        <v>23</v>
      </c>
      <c r="C20" s="36">
        <v>350000</v>
      </c>
    </row>
    <row r="21" spans="2:11" x14ac:dyDescent="0.35">
      <c r="B21" s="34" t="s">
        <v>24</v>
      </c>
      <c r="C21" s="37">
        <v>0.5</v>
      </c>
      <c r="J21" s="4" t="s">
        <v>32</v>
      </c>
      <c r="K21" s="22">
        <f>K11</f>
        <v>1</v>
      </c>
    </row>
    <row r="22" spans="2:11" ht="15" thickBot="1" x14ac:dyDescent="0.4">
      <c r="B22" s="34" t="s">
        <v>25</v>
      </c>
      <c r="C22" s="38">
        <v>175000</v>
      </c>
      <c r="J22" s="27" t="s">
        <v>2</v>
      </c>
      <c r="K22" s="16">
        <f>B9</f>
        <v>0.7</v>
      </c>
    </row>
    <row r="23" spans="2:11" x14ac:dyDescent="0.35">
      <c r="B23" s="34" t="s">
        <v>26</v>
      </c>
      <c r="C23" s="39">
        <f>C20+C22</f>
        <v>525000</v>
      </c>
      <c r="J23" s="4" t="s">
        <v>34</v>
      </c>
      <c r="K23" s="22">
        <f>K21*K22</f>
        <v>0.7</v>
      </c>
    </row>
    <row r="24" spans="2:11" ht="15" thickBot="1" x14ac:dyDescent="0.4">
      <c r="B24" s="34" t="s">
        <v>27</v>
      </c>
      <c r="C24" s="38">
        <v>200000</v>
      </c>
      <c r="D24" s="4" t="s">
        <v>75</v>
      </c>
    </row>
    <row r="25" spans="2:11" x14ac:dyDescent="0.35">
      <c r="B25" s="35" t="s">
        <v>28</v>
      </c>
      <c r="C25" s="40">
        <f>C23+C24</f>
        <v>725000</v>
      </c>
      <c r="J25" s="4" t="s">
        <v>33</v>
      </c>
      <c r="K25" s="16">
        <f>K18</f>
        <v>0.61499999999999999</v>
      </c>
    </row>
    <row r="26" spans="2:11" x14ac:dyDescent="0.35">
      <c r="J26" s="27" t="s">
        <v>2</v>
      </c>
      <c r="K26" s="16">
        <f>B14</f>
        <v>0.3</v>
      </c>
    </row>
    <row r="27" spans="2:11" x14ac:dyDescent="0.35">
      <c r="J27" s="4" t="s">
        <v>35</v>
      </c>
      <c r="K27" s="22">
        <f>K25*K26</f>
        <v>0.1845</v>
      </c>
    </row>
    <row r="29" spans="2:11" x14ac:dyDescent="0.35">
      <c r="J29" s="4" t="s">
        <v>36</v>
      </c>
      <c r="K29" s="28">
        <f>K23+K27</f>
        <v>0.88449999999999995</v>
      </c>
    </row>
    <row r="30" spans="2:11" x14ac:dyDescent="0.35">
      <c r="J30" s="4" t="s">
        <v>37</v>
      </c>
      <c r="K30" s="30">
        <f>K29-I18</f>
        <v>0</v>
      </c>
    </row>
  </sheetData>
  <mergeCells count="7">
    <mergeCell ref="B19:C19"/>
    <mergeCell ref="B9:B10"/>
    <mergeCell ref="B14:B16"/>
    <mergeCell ref="M7:O7"/>
    <mergeCell ref="P7:S7"/>
    <mergeCell ref="M12:O12"/>
    <mergeCell ref="P12:S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856F-6078-4469-9D3B-CAED599382D0}">
  <dimension ref="B2:AP52"/>
  <sheetViews>
    <sheetView showGridLines="0" tabSelected="1" zoomScaleNormal="100" workbookViewId="0">
      <selection activeCell="Q32" sqref="Q32"/>
    </sheetView>
  </sheetViews>
  <sheetFormatPr defaultRowHeight="14.5" x14ac:dyDescent="0.35"/>
  <cols>
    <col min="2" max="2" width="17.7265625" customWidth="1"/>
    <col min="3" max="3" width="19.81640625" customWidth="1"/>
    <col min="4" max="4" width="4.81640625" customWidth="1"/>
    <col min="5" max="10" width="14.54296875" customWidth="1"/>
    <col min="11" max="13" width="12.54296875" customWidth="1"/>
    <col min="14" max="14" width="11.81640625" customWidth="1"/>
    <col min="17" max="23" width="16" customWidth="1"/>
    <col min="24" max="28" width="18" customWidth="1"/>
  </cols>
  <sheetData>
    <row r="2" spans="2:42" ht="15" thickBot="1" x14ac:dyDescent="0.4">
      <c r="B2" s="92" t="s">
        <v>22</v>
      </c>
      <c r="C2" s="93"/>
    </row>
    <row r="3" spans="2:42" ht="15" thickBot="1" x14ac:dyDescent="0.4">
      <c r="B3" s="34" t="s">
        <v>23</v>
      </c>
      <c r="C3" s="36">
        <v>350000</v>
      </c>
      <c r="D3" s="3"/>
      <c r="AE3" s="54" t="s">
        <v>74</v>
      </c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</row>
    <row r="4" spans="2:42" x14ac:dyDescent="0.35">
      <c r="B4" s="34" t="s">
        <v>24</v>
      </c>
      <c r="C4" s="37">
        <v>0.5</v>
      </c>
      <c r="D4" s="1"/>
    </row>
    <row r="5" spans="2:42" ht="15" thickBot="1" x14ac:dyDescent="0.4">
      <c r="B5" s="34" t="s">
        <v>25</v>
      </c>
      <c r="C5" s="38">
        <v>175000</v>
      </c>
      <c r="D5" s="3"/>
    </row>
    <row r="6" spans="2:42" x14ac:dyDescent="0.35">
      <c r="B6" s="34" t="s">
        <v>26</v>
      </c>
      <c r="C6" s="39">
        <f>C3+C5</f>
        <v>525000</v>
      </c>
      <c r="D6" s="3"/>
      <c r="AE6" t="s">
        <v>73</v>
      </c>
      <c r="AG6" t="s">
        <v>72</v>
      </c>
    </row>
    <row r="7" spans="2:42" ht="15" thickBot="1" x14ac:dyDescent="0.4">
      <c r="B7" s="34" t="s">
        <v>27</v>
      </c>
      <c r="C7" s="38">
        <v>200000</v>
      </c>
      <c r="D7" s="3"/>
      <c r="AE7" t="s">
        <v>71</v>
      </c>
    </row>
    <row r="8" spans="2:42" x14ac:dyDescent="0.35">
      <c r="B8" s="35" t="s">
        <v>28</v>
      </c>
      <c r="C8" s="40">
        <f>C6+C7</f>
        <v>725000</v>
      </c>
      <c r="D8" s="3"/>
      <c r="AE8" t="s">
        <v>70</v>
      </c>
      <c r="AH8" t="s">
        <v>69</v>
      </c>
      <c r="AJ8" s="67">
        <v>7</v>
      </c>
      <c r="AK8" s="67"/>
      <c r="AM8" s="66">
        <v>0.03</v>
      </c>
    </row>
    <row r="9" spans="2:42" ht="58.5" thickBot="1" x14ac:dyDescent="0.5">
      <c r="E9" s="52" t="s">
        <v>68</v>
      </c>
      <c r="F9" s="46"/>
      <c r="G9" s="46"/>
      <c r="H9" s="46"/>
      <c r="I9" s="46"/>
      <c r="J9" s="46"/>
      <c r="K9" s="46"/>
      <c r="L9" s="46"/>
      <c r="M9" s="46"/>
      <c r="N9" s="46"/>
      <c r="AE9" t="s">
        <v>67</v>
      </c>
      <c r="AI9" s="6" t="s">
        <v>66</v>
      </c>
      <c r="AJ9" s="5" t="s">
        <v>65</v>
      </c>
      <c r="AK9" s="5"/>
      <c r="AL9" s="65" t="s">
        <v>64</v>
      </c>
      <c r="AM9" s="5" t="s">
        <v>55</v>
      </c>
    </row>
    <row r="10" spans="2:42" x14ac:dyDescent="0.35">
      <c r="K10" s="59" t="s">
        <v>63</v>
      </c>
      <c r="M10" s="43" t="s">
        <v>62</v>
      </c>
      <c r="Q10" s="90" t="s">
        <v>16</v>
      </c>
      <c r="R10" s="90"/>
      <c r="S10" s="90"/>
      <c r="T10" s="91" t="s">
        <v>7</v>
      </c>
      <c r="U10" s="91"/>
      <c r="V10" s="91"/>
      <c r="W10" s="91"/>
      <c r="AG10" s="60">
        <f>C3/$C$8</f>
        <v>0.48275862068965519</v>
      </c>
      <c r="AH10" s="56">
        <v>12</v>
      </c>
      <c r="AJ10" s="3">
        <f>AH10*$AJ$8</f>
        <v>84</v>
      </c>
      <c r="AK10" s="3"/>
    </row>
    <row r="11" spans="2:42" x14ac:dyDescent="0.35">
      <c r="F11" s="43"/>
      <c r="G11" s="43"/>
      <c r="H11" s="43"/>
      <c r="I11" s="43"/>
      <c r="J11" s="43"/>
      <c r="K11" s="64">
        <v>0.15</v>
      </c>
      <c r="M11" s="64">
        <v>0.05</v>
      </c>
      <c r="Q11" s="11" t="s">
        <v>17</v>
      </c>
      <c r="R11" s="11" t="s">
        <v>5</v>
      </c>
      <c r="S11" s="11" t="s">
        <v>6</v>
      </c>
      <c r="T11" s="11" t="s">
        <v>18</v>
      </c>
      <c r="U11" s="11" t="s">
        <v>17</v>
      </c>
      <c r="V11" s="11" t="s">
        <v>5</v>
      </c>
      <c r="W11" s="11" t="s">
        <v>6</v>
      </c>
      <c r="AH11" s="56">
        <v>14</v>
      </c>
      <c r="AI11" s="56">
        <f>AH11-AH10</f>
        <v>2</v>
      </c>
      <c r="AJ11" s="3">
        <f>AH11*$AJ$8</f>
        <v>98</v>
      </c>
      <c r="AK11" s="3"/>
      <c r="AL11" s="62">
        <f>AJ11-$AJ$10</f>
        <v>14</v>
      </c>
    </row>
    <row r="12" spans="2:42" ht="29" x14ac:dyDescent="0.35">
      <c r="F12" s="12" t="s">
        <v>61</v>
      </c>
      <c r="G12" s="63" t="s">
        <v>60</v>
      </c>
      <c r="H12" s="12" t="s">
        <v>59</v>
      </c>
      <c r="I12" s="12" t="s">
        <v>58</v>
      </c>
      <c r="J12" s="11" t="s">
        <v>57</v>
      </c>
      <c r="K12" s="11" t="s">
        <v>55</v>
      </c>
      <c r="L12" s="12" t="s">
        <v>56</v>
      </c>
      <c r="M12" s="11" t="s">
        <v>55</v>
      </c>
      <c r="Q12" s="7">
        <v>0.9</v>
      </c>
      <c r="R12" s="9">
        <v>1</v>
      </c>
      <c r="S12" s="9">
        <v>1.1000000000000001</v>
      </c>
      <c r="T12" s="9">
        <v>0</v>
      </c>
      <c r="U12" s="9">
        <v>0.75</v>
      </c>
      <c r="V12" s="9">
        <v>1</v>
      </c>
      <c r="W12" s="9">
        <v>1.25</v>
      </c>
      <c r="AG12" s="60">
        <f>C5/$C$8</f>
        <v>0.2413793103448276</v>
      </c>
      <c r="AH12" s="56">
        <v>16</v>
      </c>
      <c r="AI12" s="56">
        <f>AH12-AH11</f>
        <v>2</v>
      </c>
      <c r="AJ12" s="3">
        <f>AH12*$AJ$8</f>
        <v>112</v>
      </c>
      <c r="AK12" s="3"/>
      <c r="AL12" s="62">
        <f>AJ12-$AJ$10</f>
        <v>28</v>
      </c>
    </row>
    <row r="13" spans="2:42" x14ac:dyDescent="0.35">
      <c r="E13" s="59">
        <v>2024</v>
      </c>
      <c r="F13" s="69">
        <v>12.2658</v>
      </c>
      <c r="G13" s="2"/>
      <c r="H13" s="2"/>
      <c r="I13" s="69"/>
      <c r="J13" s="69"/>
      <c r="AH13" s="56">
        <v>18</v>
      </c>
      <c r="AI13" s="56">
        <f>AH13-AH12</f>
        <v>2</v>
      </c>
      <c r="AJ13" s="3">
        <f>AH13*$AJ$8</f>
        <v>126</v>
      </c>
      <c r="AK13" s="3"/>
      <c r="AL13" s="62">
        <f>AJ13-$AJ$10</f>
        <v>42</v>
      </c>
      <c r="AM13" s="61">
        <f>AL13*AM8*1000000</f>
        <v>1260000</v>
      </c>
    </row>
    <row r="14" spans="2:42" ht="15" thickBot="1" x14ac:dyDescent="0.4">
      <c r="D14" s="70">
        <v>0.1</v>
      </c>
      <c r="E14" s="59">
        <v>2025</v>
      </c>
      <c r="F14" s="72">
        <f>F13*(1+D14)</f>
        <v>13.492380000000002</v>
      </c>
      <c r="G14" s="72">
        <f>F14-F13</f>
        <v>1.226580000000002</v>
      </c>
      <c r="H14" s="72"/>
      <c r="I14" s="72"/>
      <c r="J14" s="72"/>
      <c r="K14" s="46"/>
      <c r="L14" s="46"/>
      <c r="M14" s="46"/>
      <c r="AH14" s="56"/>
      <c r="AI14" s="56"/>
      <c r="AJ14" s="3"/>
      <c r="AK14" s="3"/>
      <c r="AL14" s="62"/>
      <c r="AM14" s="61"/>
    </row>
    <row r="15" spans="2:42" x14ac:dyDescent="0.35">
      <c r="D15" s="70">
        <v>0.1</v>
      </c>
      <c r="E15" s="59">
        <v>2026</v>
      </c>
      <c r="F15" s="69">
        <f>F14*(1+D15)</f>
        <v>14.841618000000004</v>
      </c>
      <c r="G15" s="69">
        <f>F15-F14</f>
        <v>1.3492380000000015</v>
      </c>
      <c r="H15" s="69">
        <f>F15-$F$14</f>
        <v>1.3492380000000015</v>
      </c>
      <c r="I15" s="69">
        <f>F15-M15/1000000-K15/1000000</f>
        <v>14.571770400000004</v>
      </c>
      <c r="J15" s="69">
        <f>G15</f>
        <v>1.3492380000000015</v>
      </c>
      <c r="K15" s="57">
        <f>$G$15*K$11*1000000</f>
        <v>202385.70000000022</v>
      </c>
      <c r="L15" s="58">
        <f>K15</f>
        <v>202385.70000000022</v>
      </c>
      <c r="M15" s="57">
        <f>$G15*M$11*1000000</f>
        <v>67461.900000000081</v>
      </c>
      <c r="AG15" s="60">
        <f>C7/$C$8</f>
        <v>0.27586206896551724</v>
      </c>
      <c r="AO15" t="s">
        <v>54</v>
      </c>
    </row>
    <row r="16" spans="2:42" x14ac:dyDescent="0.35">
      <c r="D16" s="70">
        <v>0.1</v>
      </c>
      <c r="E16" s="59">
        <v>2027</v>
      </c>
      <c r="F16" s="69">
        <f>F15*(1+D16)</f>
        <v>16.325779800000007</v>
      </c>
      <c r="G16" s="69">
        <f>F16-F15</f>
        <v>1.4841618000000025</v>
      </c>
      <c r="H16" s="69">
        <f>F16-$F$14</f>
        <v>2.833399800000004</v>
      </c>
      <c r="I16" s="69">
        <f>F16-M16/1000000-K16/1000000</f>
        <v>16.028947440000007</v>
      </c>
      <c r="J16" s="69">
        <f>I16-I15</f>
        <v>1.457177040000003</v>
      </c>
      <c r="K16" s="57">
        <f>G16*$K$11*1000000</f>
        <v>222624.27000000037</v>
      </c>
      <c r="L16" s="58">
        <f>L15+K16</f>
        <v>425009.97000000055</v>
      </c>
      <c r="M16" s="57">
        <f>$G16*M$11*1000000</f>
        <v>74208.090000000127</v>
      </c>
    </row>
    <row r="17" spans="2:16" x14ac:dyDescent="0.35">
      <c r="D17" s="70">
        <v>0.1</v>
      </c>
      <c r="E17" s="59">
        <v>2028</v>
      </c>
      <c r="F17" s="69">
        <f>F16*(1+D17)</f>
        <v>17.958357780000007</v>
      </c>
      <c r="G17" s="69">
        <f>F17-F16</f>
        <v>1.6325779800000007</v>
      </c>
      <c r="H17" s="69">
        <f>F17-$F$14</f>
        <v>4.4659777800000047</v>
      </c>
      <c r="I17" s="69">
        <f>F17-M17/1000000-K17/1000000</f>
        <v>17.631842184000007</v>
      </c>
      <c r="J17" s="69">
        <f>I17-I16</f>
        <v>1.6028947440000003</v>
      </c>
      <c r="K17" s="57">
        <f>G17*$K$11*1000000</f>
        <v>244886.6970000001</v>
      </c>
      <c r="L17" s="58">
        <f>L16+K17</f>
        <v>669896.6670000006</v>
      </c>
      <c r="M17" s="57">
        <f>$G17*M$11*1000000</f>
        <v>81628.899000000034</v>
      </c>
    </row>
    <row r="18" spans="2:16" x14ac:dyDescent="0.35">
      <c r="F18" s="69"/>
      <c r="G18" s="69">
        <f>SUM(G15:G17)</f>
        <v>4.4659777800000047</v>
      </c>
      <c r="H18" s="2"/>
      <c r="I18" s="2"/>
      <c r="J18" s="2"/>
      <c r="K18" s="3">
        <f>SUM(K15:K17)</f>
        <v>669896.6670000006</v>
      </c>
      <c r="M18" s="3">
        <f>SUM(M15:M17)</f>
        <v>223298.88900000026</v>
      </c>
    </row>
    <row r="20" spans="2:16" x14ac:dyDescent="0.35">
      <c r="B20" s="43" t="s">
        <v>84</v>
      </c>
    </row>
    <row r="21" spans="2:16" x14ac:dyDescent="0.35">
      <c r="E21" s="59" t="s">
        <v>86</v>
      </c>
      <c r="F21" s="84">
        <v>0.98</v>
      </c>
      <c r="G21" s="84">
        <v>1.25</v>
      </c>
      <c r="H21" s="84">
        <v>1</v>
      </c>
      <c r="I21" s="68">
        <v>1</v>
      </c>
      <c r="J21" s="68">
        <v>1</v>
      </c>
      <c r="K21" s="68">
        <v>1</v>
      </c>
      <c r="L21" s="68">
        <v>1</v>
      </c>
      <c r="M21" s="68">
        <v>1</v>
      </c>
      <c r="P21" t="s">
        <v>88</v>
      </c>
    </row>
    <row r="22" spans="2:16" ht="15" thickBot="1" x14ac:dyDescent="0.4">
      <c r="B22" s="43" t="s">
        <v>53</v>
      </c>
      <c r="C22" s="43" t="s">
        <v>52</v>
      </c>
      <c r="E22" s="59" t="s">
        <v>80</v>
      </c>
      <c r="F22" s="50">
        <v>2026</v>
      </c>
      <c r="G22" s="50">
        <v>2027</v>
      </c>
      <c r="H22" s="50">
        <v>2028</v>
      </c>
      <c r="I22" s="50">
        <v>2029</v>
      </c>
      <c r="J22" s="50">
        <v>2030</v>
      </c>
      <c r="K22" s="50">
        <v>2031</v>
      </c>
      <c r="L22" s="50">
        <v>2032</v>
      </c>
      <c r="M22" s="50">
        <v>2033</v>
      </c>
    </row>
    <row r="23" spans="2:16" ht="15" thickBot="1" x14ac:dyDescent="0.4">
      <c r="B23" s="55" t="s">
        <v>51</v>
      </c>
      <c r="C23" s="71">
        <v>200000</v>
      </c>
      <c r="E23" s="1">
        <f>1/3</f>
        <v>0.33333333333333331</v>
      </c>
      <c r="F23" s="86">
        <f>$C23*$E23*F$21</f>
        <v>65333.333333333321</v>
      </c>
      <c r="G23" s="86">
        <f>$C23*$E23*G$21</f>
        <v>83333.333333333314</v>
      </c>
      <c r="H23" s="86">
        <f>$C23*$E23*H$21</f>
        <v>66666.666666666657</v>
      </c>
      <c r="I23" s="85">
        <f>F23+G23+H23</f>
        <v>215333.33333333328</v>
      </c>
      <c r="J23" s="74"/>
      <c r="K23" s="74"/>
      <c r="L23" s="2"/>
      <c r="P23" t="s">
        <v>89</v>
      </c>
    </row>
    <row r="24" spans="2:16" ht="15" thickBot="1" x14ac:dyDescent="0.4">
      <c r="B24" s="55" t="s">
        <v>76</v>
      </c>
      <c r="C24" s="71">
        <v>200000</v>
      </c>
      <c r="E24" s="1">
        <f>1/3</f>
        <v>0.33333333333333331</v>
      </c>
      <c r="F24" s="2"/>
      <c r="G24" s="73">
        <f>$C24*$E24*G$21</f>
        <v>83333.333333333314</v>
      </c>
      <c r="H24" s="73">
        <f>$C24*$E24*H$21</f>
        <v>66666.666666666657</v>
      </c>
      <c r="I24" s="73">
        <f>$C24*$E24*I$21</f>
        <v>66666.666666666657</v>
      </c>
      <c r="J24" s="75">
        <f>G24+H24+I24</f>
        <v>216666.66666666663</v>
      </c>
      <c r="K24" s="2"/>
      <c r="L24" s="2"/>
    </row>
    <row r="25" spans="2:16" ht="15" thickBot="1" x14ac:dyDescent="0.4">
      <c r="B25" s="55" t="s">
        <v>77</v>
      </c>
      <c r="C25" s="71">
        <v>200000</v>
      </c>
      <c r="E25" s="1">
        <f>1/3</f>
        <v>0.33333333333333331</v>
      </c>
      <c r="F25" s="2"/>
      <c r="G25" s="2"/>
      <c r="H25" s="73">
        <f>$C25*$E25*H$21</f>
        <v>66666.666666666657</v>
      </c>
      <c r="I25" s="73">
        <f>$C25*$E25*I$21</f>
        <v>66666.666666666657</v>
      </c>
      <c r="J25" s="73">
        <f>$C25*$E25*J$21</f>
        <v>66666.666666666657</v>
      </c>
      <c r="K25" s="75">
        <f>H25+I25+J25</f>
        <v>199999.99999999997</v>
      </c>
      <c r="L25" s="74"/>
    </row>
    <row r="26" spans="2:16" ht="15" thickBot="1" x14ac:dyDescent="0.4">
      <c r="B26" s="55" t="s">
        <v>78</v>
      </c>
      <c r="C26" s="71">
        <v>200000</v>
      </c>
      <c r="E26" s="1">
        <f>1/3</f>
        <v>0.33333333333333331</v>
      </c>
      <c r="F26" s="74"/>
      <c r="G26" s="74"/>
      <c r="H26" s="74"/>
      <c r="I26" s="73">
        <f>$C26*$E26*I$21</f>
        <v>66666.666666666657</v>
      </c>
      <c r="J26" s="73">
        <f>$C26*$E26*J$21</f>
        <v>66666.666666666657</v>
      </c>
      <c r="K26" s="73">
        <f>$C26*$E26*K$21</f>
        <v>66666.666666666657</v>
      </c>
      <c r="L26" s="75">
        <f>I26+J26+K26</f>
        <v>199999.99999999997</v>
      </c>
    </row>
    <row r="27" spans="2:16" ht="15" thickBot="1" x14ac:dyDescent="0.4">
      <c r="B27" s="55" t="s">
        <v>79</v>
      </c>
      <c r="C27" s="71">
        <v>200000</v>
      </c>
      <c r="E27" s="1">
        <f>1/3</f>
        <v>0.33333333333333331</v>
      </c>
      <c r="F27" s="78"/>
      <c r="G27" s="78"/>
      <c r="H27" s="78"/>
      <c r="I27" s="78"/>
      <c r="J27" s="79">
        <f>$C27*$E27*J$21</f>
        <v>66666.666666666657</v>
      </c>
      <c r="K27" s="79">
        <f>$C27*$E27*K$21</f>
        <v>66666.666666666657</v>
      </c>
      <c r="L27" s="79">
        <f>$C27*$E27*L$21</f>
        <v>66666.666666666657</v>
      </c>
      <c r="M27" s="75">
        <f>J27+K27+L27</f>
        <v>199999.99999999997</v>
      </c>
    </row>
    <row r="28" spans="2:16" x14ac:dyDescent="0.35">
      <c r="E28" s="76" t="s">
        <v>87</v>
      </c>
      <c r="F28" s="74">
        <v>0</v>
      </c>
      <c r="G28" s="74">
        <v>0</v>
      </c>
      <c r="H28" s="74">
        <v>0</v>
      </c>
      <c r="I28" s="74">
        <f>SUM(I24:I26)</f>
        <v>199999.99999999997</v>
      </c>
      <c r="J28" s="74">
        <f>SUM(J25:J27)</f>
        <v>199999.99999999997</v>
      </c>
      <c r="K28" s="74"/>
      <c r="L28" s="74"/>
    </row>
    <row r="29" spans="2:16" x14ac:dyDescent="0.35">
      <c r="E29" s="77" t="s">
        <v>85</v>
      </c>
      <c r="F29" s="78"/>
      <c r="G29" s="78"/>
      <c r="H29" s="78"/>
      <c r="I29" s="80">
        <f>I23</f>
        <v>215333.33333333328</v>
      </c>
      <c r="J29" s="80">
        <f>J24</f>
        <v>216666.66666666663</v>
      </c>
      <c r="K29" s="81">
        <f>K25</f>
        <v>199999.99999999997</v>
      </c>
      <c r="L29" s="82">
        <f>L26</f>
        <v>199999.99999999997</v>
      </c>
      <c r="M29" s="82">
        <f>M27</f>
        <v>199999.99999999997</v>
      </c>
    </row>
    <row r="32" spans="2:16" ht="19" thickBot="1" x14ac:dyDescent="0.5">
      <c r="B32" s="54"/>
      <c r="C32" s="53" t="s">
        <v>50</v>
      </c>
      <c r="E32" s="52" t="s">
        <v>49</v>
      </c>
      <c r="F32" s="46"/>
      <c r="G32" s="46"/>
      <c r="H32" s="46"/>
      <c r="I32" s="46"/>
      <c r="J32" s="46"/>
      <c r="K32" s="46"/>
      <c r="L32" s="46"/>
      <c r="M32" s="46"/>
      <c r="N32" s="46"/>
    </row>
    <row r="33" spans="2:23" x14ac:dyDescent="0.35">
      <c r="G33" s="51">
        <v>0.03</v>
      </c>
      <c r="H33" s="51">
        <v>0.03</v>
      </c>
      <c r="I33" s="51">
        <v>0.03</v>
      </c>
      <c r="J33" s="51">
        <v>0.03</v>
      </c>
      <c r="K33" s="51">
        <v>0.03</v>
      </c>
      <c r="L33" s="51">
        <v>0.03</v>
      </c>
      <c r="M33" s="51">
        <v>0.03</v>
      </c>
    </row>
    <row r="34" spans="2:23" x14ac:dyDescent="0.35">
      <c r="B34" s="43" t="s">
        <v>48</v>
      </c>
      <c r="E34" s="50">
        <v>2025</v>
      </c>
      <c r="F34" s="50">
        <v>2026</v>
      </c>
      <c r="G34" s="50">
        <v>2027</v>
      </c>
      <c r="H34" s="50">
        <v>2028</v>
      </c>
      <c r="I34" s="50">
        <v>2029</v>
      </c>
      <c r="J34" s="50">
        <v>2030</v>
      </c>
      <c r="K34" s="50">
        <v>2031</v>
      </c>
      <c r="L34" s="50">
        <v>2032</v>
      </c>
      <c r="M34" s="50">
        <v>2033</v>
      </c>
    </row>
    <row r="35" spans="2:23" x14ac:dyDescent="0.35">
      <c r="B35" s="43" t="s">
        <v>23</v>
      </c>
      <c r="C35" s="3">
        <v>350000</v>
      </c>
      <c r="E35" s="3">
        <f>C35*50%</f>
        <v>175000</v>
      </c>
      <c r="F35" s="49">
        <f>$C$35*1</f>
        <v>350000</v>
      </c>
      <c r="G35" s="49">
        <f>F35*(1+G33)</f>
        <v>360500</v>
      </c>
      <c r="H35" s="49">
        <f>G35*(1+H33)</f>
        <v>371315</v>
      </c>
      <c r="I35" s="49">
        <f>H35*(1+I33)</f>
        <v>382454.45</v>
      </c>
      <c r="J35" s="49">
        <f>I35*(1+J33)</f>
        <v>393928.08350000001</v>
      </c>
      <c r="K35" s="49">
        <f t="shared" ref="K35:M35" si="0">J35*(1+K33)</f>
        <v>405745.92600500002</v>
      </c>
      <c r="L35" s="49">
        <f t="shared" si="0"/>
        <v>417918.30378515006</v>
      </c>
      <c r="M35" s="49">
        <f t="shared" si="0"/>
        <v>430455.85289870459</v>
      </c>
    </row>
    <row r="36" spans="2:23" x14ac:dyDescent="0.35">
      <c r="B36" s="43" t="s">
        <v>24</v>
      </c>
      <c r="C36" s="1">
        <v>0.5</v>
      </c>
      <c r="E36" s="1"/>
    </row>
    <row r="37" spans="2:23" x14ac:dyDescent="0.35">
      <c r="B37" s="43" t="s">
        <v>47</v>
      </c>
      <c r="C37" s="1"/>
      <c r="E37" s="1"/>
      <c r="F37" s="42">
        <v>1</v>
      </c>
      <c r="G37" s="42">
        <v>1</v>
      </c>
      <c r="H37" s="42">
        <v>1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</row>
    <row r="38" spans="2:23" x14ac:dyDescent="0.35">
      <c r="B38" s="43" t="s">
        <v>46</v>
      </c>
      <c r="C38" s="48">
        <f>C35*C36</f>
        <v>175000</v>
      </c>
      <c r="E38" s="48">
        <f>C38*50%</f>
        <v>87500</v>
      </c>
      <c r="F38" s="48">
        <f>$C$38*F37</f>
        <v>175000</v>
      </c>
      <c r="G38" s="48">
        <f>$C$38*G37</f>
        <v>175000</v>
      </c>
      <c r="H38" s="48">
        <f>$C$38*H37</f>
        <v>175000</v>
      </c>
      <c r="I38" s="48">
        <f>$C$38*I37</f>
        <v>175000</v>
      </c>
      <c r="J38" s="48">
        <f>$C$38*J37</f>
        <v>175000</v>
      </c>
      <c r="K38" s="48">
        <f t="shared" ref="K38:M38" si="1">$C$38*K37</f>
        <v>175000</v>
      </c>
      <c r="L38" s="48">
        <f t="shared" si="1"/>
        <v>175000</v>
      </c>
      <c r="M38" s="48">
        <f t="shared" si="1"/>
        <v>175000</v>
      </c>
    </row>
    <row r="39" spans="2:23" x14ac:dyDescent="0.35">
      <c r="B39" s="43" t="s">
        <v>26</v>
      </c>
      <c r="C39" s="3">
        <f>C35*(1+C36)</f>
        <v>525000</v>
      </c>
      <c r="E39" s="3"/>
    </row>
    <row r="40" spans="2:23" ht="15" thickBot="1" x14ac:dyDescent="0.4">
      <c r="B40" s="43" t="s">
        <v>45</v>
      </c>
      <c r="C40" s="47">
        <v>225000</v>
      </c>
      <c r="E40" s="47"/>
      <c r="F40" s="46"/>
      <c r="G40" s="46"/>
      <c r="H40" s="46"/>
      <c r="I40" s="83">
        <f>I29</f>
        <v>215333.33333333328</v>
      </c>
      <c r="J40" s="83">
        <f>J29</f>
        <v>216666.66666666663</v>
      </c>
      <c r="K40" s="83">
        <f t="shared" ref="K40:M40" si="2">K29</f>
        <v>199999.99999999997</v>
      </c>
      <c r="L40" s="83">
        <f t="shared" si="2"/>
        <v>199999.99999999997</v>
      </c>
      <c r="M40" s="83">
        <f t="shared" si="2"/>
        <v>199999.99999999997</v>
      </c>
    </row>
    <row r="41" spans="2:23" x14ac:dyDescent="0.35">
      <c r="C41" s="3">
        <f>C39+C40</f>
        <v>750000</v>
      </c>
      <c r="E41" s="3">
        <f t="shared" ref="E41:J41" si="3">E35+E38+E40</f>
        <v>262500</v>
      </c>
      <c r="F41" s="3">
        <f t="shared" si="3"/>
        <v>525000</v>
      </c>
      <c r="G41" s="3">
        <f t="shared" si="3"/>
        <v>535500</v>
      </c>
      <c r="H41" s="3">
        <f t="shared" si="3"/>
        <v>546315</v>
      </c>
      <c r="I41" s="3">
        <f t="shared" si="3"/>
        <v>772787.78333333321</v>
      </c>
      <c r="J41" s="3">
        <f t="shared" si="3"/>
        <v>785594.75016666658</v>
      </c>
      <c r="K41" s="3">
        <f t="shared" ref="K41:M41" si="4">K35+K38+K40</f>
        <v>780745.92600500002</v>
      </c>
      <c r="L41" s="3">
        <f t="shared" si="4"/>
        <v>792918.30378515006</v>
      </c>
      <c r="M41" s="3">
        <f t="shared" si="4"/>
        <v>805455.85289870459</v>
      </c>
    </row>
    <row r="43" spans="2:23" ht="29" x14ac:dyDescent="0.35">
      <c r="B43" s="45" t="s">
        <v>44</v>
      </c>
      <c r="C43" s="41" t="s">
        <v>42</v>
      </c>
      <c r="D43" s="41"/>
    </row>
    <row r="44" spans="2:23" x14ac:dyDescent="0.35">
      <c r="B44" s="43" t="s">
        <v>41</v>
      </c>
      <c r="C44" s="42">
        <v>0</v>
      </c>
      <c r="D44" s="41"/>
    </row>
    <row r="45" spans="2:23" x14ac:dyDescent="0.35">
      <c r="B45" s="43" t="s">
        <v>40</v>
      </c>
      <c r="C45" s="44">
        <v>1</v>
      </c>
      <c r="D45" s="41"/>
      <c r="T45" s="3"/>
      <c r="U45" s="3"/>
      <c r="V45" s="3"/>
      <c r="W45" s="3"/>
    </row>
    <row r="46" spans="2:23" x14ac:dyDescent="0.35">
      <c r="B46" s="43" t="s">
        <v>39</v>
      </c>
      <c r="C46" s="42">
        <v>2</v>
      </c>
      <c r="D46" s="41"/>
      <c r="T46" s="3"/>
      <c r="U46" s="3"/>
      <c r="W46" s="3"/>
    </row>
    <row r="47" spans="2:23" x14ac:dyDescent="0.35">
      <c r="D47" s="41"/>
    </row>
    <row r="48" spans="2:23" ht="29" x14ac:dyDescent="0.35">
      <c r="B48" s="45" t="s">
        <v>43</v>
      </c>
      <c r="C48" s="41" t="s">
        <v>42</v>
      </c>
      <c r="D48" s="41"/>
    </row>
    <row r="49" spans="2:24" x14ac:dyDescent="0.35">
      <c r="B49" s="43" t="s">
        <v>41</v>
      </c>
      <c r="C49" s="42">
        <v>0</v>
      </c>
      <c r="D49" s="41"/>
      <c r="T49">
        <f>1500</f>
        <v>1500</v>
      </c>
      <c r="U49" s="3">
        <v>150</v>
      </c>
      <c r="X49">
        <f>2000</f>
        <v>2000</v>
      </c>
    </row>
    <row r="50" spans="2:24" x14ac:dyDescent="0.35">
      <c r="B50" s="43" t="s">
        <v>40</v>
      </c>
      <c r="C50" s="44">
        <v>1</v>
      </c>
      <c r="D50" s="41"/>
      <c r="T50">
        <f>T49*8</f>
        <v>12000</v>
      </c>
      <c r="U50">
        <f>U49*8</f>
        <v>1200</v>
      </c>
    </row>
    <row r="51" spans="2:24" x14ac:dyDescent="0.35">
      <c r="B51" s="43" t="s">
        <v>39</v>
      </c>
      <c r="C51" s="42">
        <v>1.5</v>
      </c>
      <c r="D51" s="41"/>
    </row>
    <row r="52" spans="2:24" x14ac:dyDescent="0.35">
      <c r="D52" s="41"/>
    </row>
  </sheetData>
  <mergeCells count="3">
    <mergeCell ref="B2:C2"/>
    <mergeCell ref="Q10:S10"/>
    <mergeCell ref="T10:W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</vt:lpstr>
      <vt:lpstr>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Brown</dc:creator>
  <cp:lastModifiedBy>KAREY WONG</cp:lastModifiedBy>
  <dcterms:created xsi:type="dcterms:W3CDTF">2025-04-27T21:03:54Z</dcterms:created>
  <dcterms:modified xsi:type="dcterms:W3CDTF">2025-05-01T20:14:04Z</dcterms:modified>
</cp:coreProperties>
</file>