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sm-my.sharepoint.com/personal/wkristan_csusm_edu/Documents/Documents/classes/scientific_computing/exercises/8.ls_curve_fitting/"/>
    </mc:Choice>
  </mc:AlternateContent>
  <xr:revisionPtr revIDLastSave="2299" documentId="11_8C4DFD81B7D6EC8E03C5F3E98740DCBCDBFD0B52" xr6:coauthVersionLast="47" xr6:coauthVersionMax="47" xr10:uidLastSave="{8D3C72E2-F72D-4283-A772-15E8A33ED973}"/>
  <bookViews>
    <workbookView xWindow="-120" yWindow="-120" windowWidth="24240" windowHeight="13140" tabRatio="500" xr2:uid="{00000000-000D-0000-FFFF-FFFF00000000}"/>
  </bookViews>
  <sheets>
    <sheet name="Bottom" sheetId="1" r:id="rId1"/>
    <sheet name="Top" sheetId="2" r:id="rId2"/>
  </sheets>
  <definedNames>
    <definedName name="phi" localSheetId="0">Bottom!$B$16</definedName>
    <definedName name="phi" localSheetId="1">Top!$B$16</definedName>
    <definedName name="Pmarea" localSheetId="0">Bottom!$B$17</definedName>
    <definedName name="Pmarea" localSheetId="1">Top!$B$17</definedName>
    <definedName name="solver_adj" localSheetId="0" hidden="1">Bottom!$B$23:$B$25</definedName>
    <definedName name="solver_adj" localSheetId="1">Top!$B$16:$B$18</definedName>
    <definedName name="solver_cvg" localSheetId="0" hidden="1">0.0001</definedName>
    <definedName name="solver_cvg" localSheetId="1">0.0001</definedName>
    <definedName name="solver_drv" localSheetId="0" hidden="1">1</definedName>
    <definedName name="solver_drv" localSheetId="1">1</definedName>
    <definedName name="solver_eng" localSheetId="0" hidden="1">1</definedName>
    <definedName name="solver_est" localSheetId="0" hidden="1">1</definedName>
    <definedName name="solver_est" localSheetId="1">1</definedName>
    <definedName name="solver_itr" localSheetId="0" hidden="1">100</definedName>
    <definedName name="solver_itr" localSheetId="1">100</definedName>
    <definedName name="solver_lhs1" localSheetId="0" hidden="1">Bottom!$B$25</definedName>
    <definedName name="solver_lhs2" localSheetId="0" hidden="1">Bottom!$B$25</definedName>
    <definedName name="solver_lhs3" localSheetId="0" hidden="1">Bottom!$B$25</definedName>
    <definedName name="solver_lhs4" localSheetId="0" hidden="1">Bottom!$B$25</definedName>
    <definedName name="solver_lin" localSheetId="0">2</definedName>
    <definedName name="solver_lin" localSheetId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eg" localSheetId="1">2</definedName>
    <definedName name="solver_nod" localSheetId="0" hidden="1">2147483647</definedName>
    <definedName name="solver_num" localSheetId="0" hidden="1">0</definedName>
    <definedName name="solver_num" localSheetId="1">0</definedName>
    <definedName name="solver_nwt" localSheetId="0" hidden="1">1</definedName>
    <definedName name="solver_nwt" localSheetId="1">1</definedName>
    <definedName name="solver_opt" localSheetId="0" hidden="1">Bottom!$C$11</definedName>
    <definedName name="solver_opt" localSheetId="1">Top!$C$11</definedName>
    <definedName name="solver_pre" localSheetId="0" hidden="1">0.0000000001</definedName>
    <definedName name="solver_pre" localSheetId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hs1" localSheetId="0" hidden="1">0.00001</definedName>
    <definedName name="solver_rhs2" localSheetId="0" hidden="1">0.00001</definedName>
    <definedName name="solver_rhs3" localSheetId="0" hidden="1">0.00001</definedName>
    <definedName name="solver_rhs4" localSheetId="0" hidden="1">0.00001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cl" localSheetId="1">2</definedName>
    <definedName name="solver_sho" localSheetId="0" hidden="1">2</definedName>
    <definedName name="solver_sho" localSheetId="1">2</definedName>
    <definedName name="solver_ssz" localSheetId="0" hidden="1">100</definedName>
    <definedName name="solver_tim" localSheetId="0" hidden="1">100</definedName>
    <definedName name="solver_tim" localSheetId="1">100</definedName>
    <definedName name="solver_tol" localSheetId="0" hidden="1">0.05</definedName>
    <definedName name="solver_tol" localSheetId="1">0.05</definedName>
    <definedName name="solver_typ" localSheetId="0" hidden="1">2</definedName>
    <definedName name="solver_typ" localSheetId="1">2</definedName>
    <definedName name="solver_val" localSheetId="0" hidden="1">0</definedName>
    <definedName name="solver_val" localSheetId="1">0</definedName>
    <definedName name="solver_ver" localSheetId="0" hidden="1">3</definedName>
    <definedName name="theta" localSheetId="0">Bottom!$B$18</definedName>
    <definedName name="theta" localSheetId="1">Top!$B$18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1" i="1" l="1" a="1"/>
  <c r="B17" i="1"/>
  <c r="B18" i="1"/>
  <c r="B16" i="1"/>
  <c r="L20" i="2"/>
  <c r="L19" i="2"/>
  <c r="L18" i="2"/>
  <c r="B18" i="2"/>
  <c r="B17" i="2"/>
  <c r="B16" i="2"/>
  <c r="F13" i="2" a="1"/>
  <c r="F13" i="2"/>
  <c r="C9" i="2"/>
  <c r="C8" i="2"/>
  <c r="C7" i="2"/>
  <c r="C6" i="2"/>
  <c r="C5" i="2"/>
  <c r="C4" i="2"/>
  <c r="C3" i="2"/>
  <c r="C2" i="2"/>
  <c r="B30" i="1"/>
  <c r="C9" i="1"/>
  <c r="B27" i="1"/>
  <c r="F13" i="1" a="1"/>
  <c r="F13" i="1"/>
  <c r="C8" i="1"/>
  <c r="C7" i="1"/>
  <c r="C6" i="1"/>
  <c r="C5" i="1"/>
  <c r="C4" i="1"/>
  <c r="C3" i="1"/>
  <c r="C2" i="1" l="1"/>
  <c r="B29" i="1"/>
  <c r="B28" i="1"/>
  <c r="B31" i="1" s="1"/>
  <c r="H15" i="1"/>
  <c r="G15" i="1"/>
  <c r="F15" i="1"/>
  <c r="H14" i="1"/>
  <c r="G14" i="1"/>
  <c r="F14" i="1"/>
  <c r="H13" i="1"/>
  <c r="G13" i="1"/>
  <c r="H15" i="2"/>
  <c r="G15" i="2"/>
  <c r="F15" i="2"/>
  <c r="H14" i="2"/>
  <c r="G14" i="2"/>
  <c r="F14" i="2"/>
  <c r="H13" i="2"/>
  <c r="G13" i="2"/>
  <c r="F18" i="2" a="1"/>
  <c r="G18" i="2"/>
  <c r="H18" i="2"/>
  <c r="F19" i="2"/>
  <c r="G19" i="2"/>
  <c r="H19" i="2"/>
  <c r="F20" i="2"/>
  <c r="G20" i="2"/>
  <c r="H20" i="2"/>
  <c r="F18" i="2"/>
  <c r="C11" i="2" a="1"/>
  <c r="C11" i="2"/>
  <c r="C12" i="2"/>
  <c r="C23" i="2"/>
  <c r="C24" i="2"/>
  <c r="C25" i="2"/>
  <c r="F18" i="1" a="1"/>
  <c r="G18" i="1"/>
  <c r="H18" i="1"/>
  <c r="F19" i="1"/>
  <c r="G19" i="1"/>
  <c r="H19" i="1"/>
  <c r="F20" i="1"/>
  <c r="G20" i="1"/>
  <c r="H20" i="1"/>
  <c r="F18" i="1"/>
  <c r="C11" i="1"/>
  <c r="C12" i="1"/>
  <c r="C23" i="1"/>
  <c r="L24" i="2"/>
  <c r="C24" i="1"/>
  <c r="L25" i="2"/>
  <c r="C25" i="1"/>
  <c r="L26" i="2"/>
  <c r="M24" i="2"/>
  <c r="N24" i="2"/>
  <c r="M25" i="2"/>
  <c r="N25" i="2"/>
  <c r="M26" i="2"/>
  <c r="N26" i="2"/>
</calcChain>
</file>

<file path=xl/sharedStrings.xml><?xml version="1.0" encoding="utf-8"?>
<sst xmlns="http://schemas.openxmlformats.org/spreadsheetml/2006/main" count="72" uniqueCount="33">
  <si>
    <t>Light</t>
  </si>
  <si>
    <t>Pnet</t>
  </si>
  <si>
    <t>Pnet predicted</t>
  </si>
  <si>
    <t>Best fit</t>
  </si>
  <si>
    <t>dY/dPhi</t>
  </si>
  <si>
    <t>dY/dPmarea</t>
  </si>
  <si>
    <t>dY/dTheta</t>
  </si>
  <si>
    <t>SumSq</t>
  </si>
  <si>
    <t>SE</t>
  </si>
  <si>
    <t>P matrix</t>
  </si>
  <si>
    <t>Parameter</t>
  </si>
  <si>
    <t>Values</t>
  </si>
  <si>
    <t>Parameter multiplier</t>
  </si>
  <si>
    <t>φ</t>
  </si>
  <si>
    <t>Pmarea</t>
  </si>
  <si>
    <t>Inverted P</t>
  </si>
  <si>
    <t>ϴ</t>
  </si>
  <si>
    <t>Hessian</t>
  </si>
  <si>
    <t>Top and Bottom Compared</t>
  </si>
  <si>
    <t>Φ</t>
  </si>
  <si>
    <t>Inverted Hessian</t>
  </si>
  <si>
    <t>Top</t>
  </si>
  <si>
    <t>Bottom</t>
  </si>
  <si>
    <t>θ</t>
  </si>
  <si>
    <t>Top SE</t>
  </si>
  <si>
    <t>Bottom SE</t>
  </si>
  <si>
    <t>t</t>
  </si>
  <si>
    <t>p</t>
  </si>
  <si>
    <t>A</t>
  </si>
  <si>
    <t>B</t>
  </si>
  <si>
    <t>C</t>
  </si>
  <si>
    <t>D</t>
  </si>
  <si>
    <t>Full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</si>
</sst>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0" xfId="0" applyNumberFormat="1"/>
    <xf numFmtId="165" fontId="0" fillId="0" borderId="0" xfId="0" applyNumberFormat="1"/>
    <xf numFmtId="0" fontId="2" fillId="0" borderId="5" xfId="0" applyFont="1" applyBorder="1"/>
    <xf numFmtId="0" fontId="0" fillId="0" borderId="6" xfId="0" applyBorder="1"/>
    <xf numFmtId="165" fontId="0" fillId="0" borderId="7" xfId="0" applyNumberForma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78787"/>
      <rgbColor rgb="FF9999FF"/>
      <rgbColor rgb="FFC0504D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2D05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Bottom leaf photosynthesis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Bottom!$B$1</c:f>
              <c:strCache>
                <c:ptCount val="1"/>
                <c:pt idx="0">
                  <c:v>Pnet</c:v>
                </c:pt>
              </c:strCache>
            </c:strRef>
          </c:tx>
          <c:spPr>
            <a:ln w="19080">
              <a:noFill/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Bottom!$A$2:$A$9</c:f>
              <c:numCache>
                <c:formatCode>General</c:formatCode>
                <c:ptCount val="8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</c:numCache>
            </c:numRef>
          </c:xVal>
          <c:yVal>
            <c:numRef>
              <c:f>Bottom!$B$2:$B$9</c:f>
              <c:numCache>
                <c:formatCode>General</c:formatCode>
                <c:ptCount val="8"/>
                <c:pt idx="0">
                  <c:v>1.7000000000000001E-2</c:v>
                </c:pt>
                <c:pt idx="1">
                  <c:v>1.2669999999999999</c:v>
                </c:pt>
                <c:pt idx="2">
                  <c:v>1.954</c:v>
                </c:pt>
                <c:pt idx="3">
                  <c:v>2.468</c:v>
                </c:pt>
                <c:pt idx="4">
                  <c:v>2.82</c:v>
                </c:pt>
                <c:pt idx="5">
                  <c:v>2.9449999999999998</c:v>
                </c:pt>
                <c:pt idx="6">
                  <c:v>2.843</c:v>
                </c:pt>
                <c:pt idx="7">
                  <c:v>2.851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9F-460A-934E-6D3EC9568BE4}"/>
            </c:ext>
          </c:extLst>
        </c:ser>
        <c:ser>
          <c:idx val="1"/>
          <c:order val="1"/>
          <c:tx>
            <c:strRef>
              <c:f>Bottom!$C$1</c:f>
              <c:strCache>
                <c:ptCount val="1"/>
                <c:pt idx="0">
                  <c:v>Pnet predicted</c:v>
                </c:pt>
              </c:strCache>
            </c:strRef>
          </c:tx>
          <c:spPr>
            <a:ln w="19080">
              <a:solidFill>
                <a:srgbClr val="C0504D"/>
              </a:solidFill>
              <a:round/>
            </a:ln>
          </c:spPr>
          <c:marker>
            <c:symbol val="circle"/>
            <c:size val="5"/>
            <c:spPr>
              <a:solidFill>
                <a:srgbClr val="C0504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Bottom!$A$2:$A$9</c:f>
              <c:numCache>
                <c:formatCode>General</c:formatCode>
                <c:ptCount val="8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</c:numCache>
            </c:numRef>
          </c:xVal>
          <c:yVal>
            <c:numRef>
              <c:f>Bottom!$C$2:$C$9</c:f>
              <c:numCache>
                <c:formatCode>General</c:formatCode>
                <c:ptCount val="8"/>
                <c:pt idx="0">
                  <c:v>0</c:v>
                </c:pt>
                <c:pt idx="1">
                  <c:v>1.2739610967147625</c:v>
                </c:pt>
                <c:pt idx="2">
                  <c:v>1.9318022127263998</c:v>
                </c:pt>
                <c:pt idx="3">
                  <c:v>2.5390034578581946</c:v>
                </c:pt>
                <c:pt idx="4">
                  <c:v>2.7527156023825463</c:v>
                </c:pt>
                <c:pt idx="5">
                  <c:v>2.855839907904445</c:v>
                </c:pt>
                <c:pt idx="6">
                  <c:v>2.8893577913518831</c:v>
                </c:pt>
                <c:pt idx="7">
                  <c:v>2.9059346133733679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9F-460A-934E-6D3EC9568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22323"/>
        <c:axId val="66521926"/>
      </c:scatterChart>
      <c:valAx>
        <c:axId val="4572232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latin typeface="Calibri"/>
                  </a:rPr>
                  <a:t>Light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6521926"/>
        <c:crosses val="autoZero"/>
        <c:crossBetween val="midCat"/>
      </c:valAx>
      <c:valAx>
        <c:axId val="6652192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latin typeface="Calibri"/>
                  </a:rPr>
                  <a:t>Pnet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5722323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Top</c:v>
          </c:tx>
          <c:spPr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Top!$A$2:$A$9</c:f>
              <c:numCache>
                <c:formatCode>General</c:formatCode>
                <c:ptCount val="8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</c:numCache>
            </c:numRef>
          </c:xVal>
          <c:yVal>
            <c:numRef>
              <c:f>Top!$B$2:$B$9</c:f>
              <c:numCache>
                <c:formatCode>General</c:formatCode>
                <c:ptCount val="8"/>
                <c:pt idx="0">
                  <c:v>4.5999999999999999E-2</c:v>
                </c:pt>
                <c:pt idx="1">
                  <c:v>0.51500000000000001</c:v>
                </c:pt>
                <c:pt idx="2">
                  <c:v>1.071</c:v>
                </c:pt>
                <c:pt idx="3">
                  <c:v>2.1459999999999999</c:v>
                </c:pt>
                <c:pt idx="4">
                  <c:v>2.8730000000000002</c:v>
                </c:pt>
                <c:pt idx="5">
                  <c:v>3.415</c:v>
                </c:pt>
                <c:pt idx="6">
                  <c:v>3.5059999999999998</c:v>
                </c:pt>
                <c:pt idx="7">
                  <c:v>3.617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B5-4992-8BA1-4B96707853C7}"/>
            </c:ext>
          </c:extLst>
        </c:ser>
        <c:ser>
          <c:idx val="1"/>
          <c:order val="1"/>
          <c:tx>
            <c:v>Top predicted</c:v>
          </c:tx>
          <c:spPr>
            <a:ln w="12600">
              <a:solidFill>
                <a:srgbClr val="0070C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Top!$A$2:$A$9</c:f>
              <c:numCache>
                <c:formatCode>General</c:formatCode>
                <c:ptCount val="8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</c:numCache>
            </c:numRef>
          </c:xVal>
          <c:yVal>
            <c:numRef>
              <c:f>Top!$C$2:$C$9</c:f>
              <c:numCache>
                <c:formatCode>General</c:formatCode>
                <c:ptCount val="8"/>
                <c:pt idx="0">
                  <c:v>0</c:v>
                </c:pt>
                <c:pt idx="1">
                  <c:v>0.5626819422891437</c:v>
                </c:pt>
                <c:pt idx="2">
                  <c:v>1.0572474026357375</c:v>
                </c:pt>
                <c:pt idx="3">
                  <c:v>2.1170992408404294</c:v>
                </c:pt>
                <c:pt idx="4">
                  <c:v>2.910861898653438</c:v>
                </c:pt>
                <c:pt idx="5">
                  <c:v>3.3803824295612284</c:v>
                </c:pt>
                <c:pt idx="6">
                  <c:v>3.5326218694970462</c:v>
                </c:pt>
                <c:pt idx="7">
                  <c:v>3.606368232279952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B5-4992-8BA1-4B96707853C7}"/>
            </c:ext>
          </c:extLst>
        </c:ser>
        <c:ser>
          <c:idx val="2"/>
          <c:order val="2"/>
          <c:tx>
            <c:v>Bottom</c:v>
          </c:tx>
          <c:spPr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Top!$A$2:$A$9</c:f>
              <c:numCache>
                <c:formatCode>General</c:formatCode>
                <c:ptCount val="8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</c:numCache>
            </c:numRef>
          </c:xVal>
          <c:yVal>
            <c:numRef>
              <c:f>Bottom!$B$2:$B$9</c:f>
              <c:numCache>
                <c:formatCode>General</c:formatCode>
                <c:ptCount val="8"/>
                <c:pt idx="0">
                  <c:v>1.7000000000000001E-2</c:v>
                </c:pt>
                <c:pt idx="1">
                  <c:v>1.2669999999999999</c:v>
                </c:pt>
                <c:pt idx="2">
                  <c:v>1.954</c:v>
                </c:pt>
                <c:pt idx="3">
                  <c:v>2.468</c:v>
                </c:pt>
                <c:pt idx="4">
                  <c:v>2.82</c:v>
                </c:pt>
                <c:pt idx="5">
                  <c:v>2.9449999999999998</c:v>
                </c:pt>
                <c:pt idx="6">
                  <c:v>2.843</c:v>
                </c:pt>
                <c:pt idx="7">
                  <c:v>2.851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B5-4992-8BA1-4B96707853C7}"/>
            </c:ext>
          </c:extLst>
        </c:ser>
        <c:ser>
          <c:idx val="3"/>
          <c:order val="3"/>
          <c:tx>
            <c:v>Bottom predicted</c:v>
          </c:tx>
          <c:spPr>
            <a:ln w="28440">
              <a:solidFill>
                <a:srgbClr val="92D05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Top!$A$2:$A$9</c:f>
              <c:numCache>
                <c:formatCode>General</c:formatCode>
                <c:ptCount val="8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</c:numCache>
            </c:numRef>
          </c:xVal>
          <c:yVal>
            <c:numRef>
              <c:f>Bottom!$C$2:$C$9</c:f>
              <c:numCache>
                <c:formatCode>General</c:formatCode>
                <c:ptCount val="8"/>
                <c:pt idx="0">
                  <c:v>0</c:v>
                </c:pt>
                <c:pt idx="1">
                  <c:v>1.2739610967147625</c:v>
                </c:pt>
                <c:pt idx="2">
                  <c:v>1.9318022127263998</c:v>
                </c:pt>
                <c:pt idx="3">
                  <c:v>2.5390034578581946</c:v>
                </c:pt>
                <c:pt idx="4">
                  <c:v>2.7527156023825463</c:v>
                </c:pt>
                <c:pt idx="5">
                  <c:v>2.855839907904445</c:v>
                </c:pt>
                <c:pt idx="6">
                  <c:v>2.8893577913518831</c:v>
                </c:pt>
                <c:pt idx="7">
                  <c:v>2.9059346133733679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6B5-4992-8BA1-4B9670785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73231"/>
        <c:axId val="99275942"/>
      </c:scatterChart>
      <c:valAx>
        <c:axId val="6777323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000" b="1" strike="noStrike" spc="-1">
                    <a:solidFill>
                      <a:srgbClr val="000000"/>
                    </a:solidFill>
                    <a:latin typeface="Calibri"/>
                  </a:rPr>
                  <a:t>Light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  <a:ea typeface="Calibri"/>
              </a:defRPr>
            </a:pPr>
            <a:endParaRPr lang="en-US"/>
          </a:p>
        </c:txPr>
        <c:crossAx val="99275942"/>
        <c:crosses val="autoZero"/>
        <c:crossBetween val="midCat"/>
      </c:valAx>
      <c:valAx>
        <c:axId val="99275942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000" b="1" strike="noStrike" spc="-1">
                    <a:solidFill>
                      <a:srgbClr val="000000"/>
                    </a:solidFill>
                    <a:latin typeface="Calibri"/>
                  </a:rPr>
                  <a:t>Pnet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6777323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23</xdr:row>
      <xdr:rowOff>142080</xdr:rowOff>
    </xdr:from>
    <xdr:to>
      <xdr:col>11</xdr:col>
      <xdr:colOff>94755</xdr:colOff>
      <xdr:row>40</xdr:row>
      <xdr:rowOff>132360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266760</xdr:colOff>
      <xdr:row>28</xdr:row>
      <xdr:rowOff>66600</xdr:rowOff>
    </xdr:from>
    <xdr:to>
      <xdr:col>8</xdr:col>
      <xdr:colOff>209160</xdr:colOff>
      <xdr:row>45</xdr:row>
      <xdr:rowOff>56880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zoomScaleNormal="100" workbookViewId="0">
      <selection activeCell="B26" sqref="B26"/>
    </sheetView>
  </sheetViews>
  <sheetFormatPr defaultRowHeight="12.7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J1" t="s">
        <v>4</v>
      </c>
      <c r="K1">
        <v>0</v>
      </c>
      <c r="L1">
        <v>28.5676722270744</v>
      </c>
      <c r="M1">
        <v>27.508856806926101</v>
      </c>
      <c r="N1">
        <v>13.3257392542967</v>
      </c>
      <c r="O1">
        <v>6.4669932095714904</v>
      </c>
      <c r="P1">
        <v>3.1240900129921099</v>
      </c>
      <c r="Q1">
        <v>2.0534869612107101</v>
      </c>
      <c r="R1">
        <v>1.5285453715236501</v>
      </c>
    </row>
    <row r="2" spans="1:18" x14ac:dyDescent="0.2">
      <c r="A2">
        <v>0</v>
      </c>
      <c r="B2">
        <v>1.7000000000000001E-2</v>
      </c>
      <c r="C2">
        <f>(phi*A2+Pmarea - SQRT((phi*A2+Pmarea)^2 - 4*theta*phi*A2*Pmarea))/(2*theta)</f>
        <v>0</v>
      </c>
      <c r="D2">
        <v>0</v>
      </c>
      <c r="F2">
        <v>0</v>
      </c>
      <c r="G2">
        <v>0</v>
      </c>
      <c r="H2">
        <v>0</v>
      </c>
      <c r="J2" t="s">
        <v>5</v>
      </c>
      <c r="K2">
        <v>0</v>
      </c>
      <c r="L2">
        <v>0.11779737577555</v>
      </c>
      <c r="M2">
        <v>0.35203847158283702</v>
      </c>
      <c r="N2">
        <v>0.71309401571269604</v>
      </c>
      <c r="O2">
        <v>0.86064817928327098</v>
      </c>
      <c r="P2">
        <v>0.93221395434538401</v>
      </c>
      <c r="Q2">
        <v>0.955299934522713</v>
      </c>
      <c r="R2">
        <v>0.96666765813400002</v>
      </c>
    </row>
    <row r="3" spans="1:18" x14ac:dyDescent="0.2">
      <c r="A3">
        <v>50</v>
      </c>
      <c r="B3">
        <v>1.2669999999999999</v>
      </c>
      <c r="C3">
        <f t="shared" ref="C2:C9" si="0">(phi*A3+Pmarea - SQRT((phi*A3+Pmarea)^2 - 4*theta*phi*A3*Pmarea))/(2*theta)</f>
        <v>1.2739610967147625</v>
      </c>
      <c r="D3">
        <v>1.27397518581022</v>
      </c>
      <c r="F3">
        <v>28.5676722270744</v>
      </c>
      <c r="G3">
        <v>0.11779737577555</v>
      </c>
      <c r="H3">
        <v>0.55167457066071501</v>
      </c>
      <c r="J3" t="s">
        <v>6</v>
      </c>
      <c r="K3">
        <v>0</v>
      </c>
      <c r="L3">
        <v>0.55167457066071501</v>
      </c>
      <c r="M3">
        <v>1.0034564840547999</v>
      </c>
      <c r="N3">
        <v>0.82625603261795699</v>
      </c>
      <c r="O3">
        <v>0.48477693775179098</v>
      </c>
      <c r="P3">
        <v>0.25724959391910401</v>
      </c>
      <c r="Q3">
        <v>0.17441053580826399</v>
      </c>
      <c r="R3">
        <v>0.131840782362798</v>
      </c>
    </row>
    <row r="4" spans="1:18" x14ac:dyDescent="0.2">
      <c r="A4">
        <v>100</v>
      </c>
      <c r="B4">
        <v>1.954</v>
      </c>
      <c r="C4">
        <f t="shared" si="0"/>
        <v>1.9318022127263998</v>
      </c>
      <c r="D4">
        <v>1.93181427202917</v>
      </c>
      <c r="F4">
        <v>27.508856806926101</v>
      </c>
      <c r="G4">
        <v>0.35203847158283702</v>
      </c>
      <c r="H4">
        <v>1.0034564840547999</v>
      </c>
    </row>
    <row r="5" spans="1:18" x14ac:dyDescent="0.2">
      <c r="A5">
        <v>250</v>
      </c>
      <c r="B5">
        <v>2.468</v>
      </c>
      <c r="C5">
        <f t="shared" si="0"/>
        <v>2.5390034578581946</v>
      </c>
      <c r="D5">
        <v>2.5390071377971499</v>
      </c>
      <c r="F5">
        <v>13.3257392542967</v>
      </c>
      <c r="G5">
        <v>0.71309401571269604</v>
      </c>
      <c r="H5">
        <v>0.82625603261795699</v>
      </c>
    </row>
    <row r="6" spans="1:18" x14ac:dyDescent="0.2">
      <c r="A6">
        <v>500</v>
      </c>
      <c r="B6">
        <v>2.82</v>
      </c>
      <c r="C6">
        <f t="shared" si="0"/>
        <v>2.7527156023825463</v>
      </c>
      <c r="D6">
        <v>2.7527157502398198</v>
      </c>
      <c r="F6">
        <v>6.4669932095714904</v>
      </c>
      <c r="G6">
        <v>0.86064817928327098</v>
      </c>
      <c r="H6">
        <v>0.48477693775179098</v>
      </c>
    </row>
    <row r="7" spans="1:18" x14ac:dyDescent="0.2">
      <c r="A7">
        <v>1000</v>
      </c>
      <c r="B7">
        <v>2.9449999999999998</v>
      </c>
      <c r="C7">
        <f t="shared" si="0"/>
        <v>2.855839907904445</v>
      </c>
      <c r="D7">
        <v>2.8558384407404298</v>
      </c>
      <c r="F7">
        <v>3.1240900129921099</v>
      </c>
      <c r="G7">
        <v>0.93221395434538401</v>
      </c>
      <c r="H7">
        <v>0.25724959391910401</v>
      </c>
    </row>
    <row r="8" spans="1:18" x14ac:dyDescent="0.2">
      <c r="A8">
        <v>1500</v>
      </c>
      <c r="B8">
        <v>2.843</v>
      </c>
      <c r="C8">
        <f t="shared" si="0"/>
        <v>2.8893577913518831</v>
      </c>
      <c r="D8">
        <v>2.8893558236903099</v>
      </c>
      <c r="F8">
        <v>2.0534869612107101</v>
      </c>
      <c r="G8">
        <v>0.955299934522713</v>
      </c>
      <c r="H8">
        <v>0.17441053580826399</v>
      </c>
    </row>
    <row r="9" spans="1:18" x14ac:dyDescent="0.2">
      <c r="A9">
        <v>2000</v>
      </c>
      <c r="B9">
        <v>2.851</v>
      </c>
      <c r="C9">
        <f>(phi*A9+Pmarea - SQRT((phi*A9+Pmarea)^2 - 4*theta*phi*A9*Pmarea))/(2*theta)</f>
        <v>2.9059346133733679</v>
      </c>
      <c r="D9">
        <v>2.9059324035363301</v>
      </c>
      <c r="F9">
        <v>1.5285453715236501</v>
      </c>
      <c r="G9">
        <v>0.96666765813400002</v>
      </c>
      <c r="H9">
        <v>0.131840782362798</v>
      </c>
    </row>
    <row r="11" spans="1:18" x14ac:dyDescent="0.2">
      <c r="B11" t="s">
        <v>7</v>
      </c>
      <c r="C11">
        <f t="array" ref="C11">SUM((B2:B9-C2:C9)^2)</f>
        <v>2.3515258405874255E-2</v>
      </c>
    </row>
    <row r="12" spans="1:18" x14ac:dyDescent="0.2">
      <c r="B12" t="s">
        <v>8</v>
      </c>
      <c r="C12">
        <f>SQRT(C11/(8-3))</f>
        <v>6.8578799064833815E-2</v>
      </c>
      <c r="F12" t="s">
        <v>9</v>
      </c>
    </row>
    <row r="13" spans="1:18" x14ac:dyDescent="0.2">
      <c r="F13">
        <f t="array" ref="F13:H15">MMULT(K1:R3,F2:H9)</f>
        <v>1808.5596252056162</v>
      </c>
      <c r="G13">
        <v>34.469295213081004</v>
      </c>
      <c r="H13">
        <v>58.872865921094288</v>
      </c>
    </row>
    <row r="14" spans="1:18" x14ac:dyDescent="0.2">
      <c r="F14">
        <v>34.469295213081004</v>
      </c>
      <c r="G14">
        <v>4.1030928538204829</v>
      </c>
      <c r="H14">
        <v>1.9585339797654309</v>
      </c>
    </row>
    <row r="15" spans="1:18" x14ac:dyDescent="0.2">
      <c r="A15" t="s">
        <v>10</v>
      </c>
      <c r="B15" t="s">
        <v>11</v>
      </c>
      <c r="C15" t="s">
        <v>12</v>
      </c>
      <c r="F15">
        <v>58.872865921094288</v>
      </c>
      <c r="G15">
        <v>1.9585339797654309</v>
      </c>
      <c r="H15">
        <v>2.3429558385853797</v>
      </c>
    </row>
    <row r="16" spans="1:18" x14ac:dyDescent="0.2">
      <c r="A16" s="1" t="s">
        <v>13</v>
      </c>
      <c r="B16">
        <f>B23*C16</f>
        <v>3.241011465987139E-2</v>
      </c>
      <c r="C16">
        <v>1</v>
      </c>
    </row>
    <row r="17" spans="1:8" x14ac:dyDescent="0.2">
      <c r="A17" t="s">
        <v>14</v>
      </c>
      <c r="B17">
        <f t="shared" ref="B17:B18" si="1">B24*C17</f>
        <v>2.9548872664111681</v>
      </c>
      <c r="C17">
        <v>1</v>
      </c>
      <c r="F17" t="s">
        <v>15</v>
      </c>
    </row>
    <row r="18" spans="1:8" x14ac:dyDescent="0.2">
      <c r="A18" s="1" t="s">
        <v>16</v>
      </c>
      <c r="B18">
        <f t="shared" si="1"/>
        <v>0.64108179437207113</v>
      </c>
      <c r="C18">
        <v>1</v>
      </c>
      <c r="F18">
        <f t="array" ref="F18:H20">MINVERSE(F13:H15)</f>
        <v>4.1481814853369745E-3</v>
      </c>
      <c r="G18">
        <v>2.4802508111708366E-2</v>
      </c>
      <c r="H18">
        <v>-0.12496688264494936</v>
      </c>
    </row>
    <row r="19" spans="1:8" x14ac:dyDescent="0.2">
      <c r="F19">
        <v>2.4802508111708355E-2</v>
      </c>
      <c r="G19">
        <v>0.55382775262584549</v>
      </c>
      <c r="H19">
        <v>-1.0861857338970766</v>
      </c>
    </row>
    <row r="20" spans="1:8" x14ac:dyDescent="0.2">
      <c r="F20">
        <v>-0.12496688264494932</v>
      </c>
      <c r="G20">
        <v>-1.0861857338970768</v>
      </c>
      <c r="H20">
        <v>4.4748987676342145</v>
      </c>
    </row>
    <row r="22" spans="1:8" x14ac:dyDescent="0.2">
      <c r="A22" t="s">
        <v>10</v>
      </c>
      <c r="B22" t="s">
        <v>11</v>
      </c>
      <c r="C22" t="s">
        <v>8</v>
      </c>
    </row>
    <row r="23" spans="1:8" x14ac:dyDescent="0.2">
      <c r="A23" s="1" t="s">
        <v>13</v>
      </c>
      <c r="B23">
        <v>3.241011465987139E-2</v>
      </c>
      <c r="C23">
        <f>$C$12*SQRT(F18)</f>
        <v>4.4169120331327017E-3</v>
      </c>
    </row>
    <row r="24" spans="1:8" x14ac:dyDescent="0.2">
      <c r="A24" t="s">
        <v>14</v>
      </c>
      <c r="B24">
        <v>2.9548872664111681</v>
      </c>
      <c r="C24">
        <f>$C$12*SQRT(G19)</f>
        <v>5.1036070999522218E-2</v>
      </c>
    </row>
    <row r="25" spans="1:8" x14ac:dyDescent="0.2">
      <c r="A25" s="1" t="s">
        <v>16</v>
      </c>
      <c r="B25">
        <v>0.64108179437207113</v>
      </c>
      <c r="C25">
        <f>$C$12*SQRT(H20)</f>
        <v>0.14507129341192684</v>
      </c>
    </row>
    <row r="27" spans="1:8" x14ac:dyDescent="0.2">
      <c r="A27" s="1" t="s">
        <v>28</v>
      </c>
      <c r="B27">
        <f>phi*A2+Pmarea</f>
        <v>2.9548872664111681</v>
      </c>
    </row>
    <row r="28" spans="1:8" x14ac:dyDescent="0.2">
      <c r="A28" t="s">
        <v>29</v>
      </c>
      <c r="B28">
        <f>(phi*A2+Pmarea)^2</f>
        <v>8.7313587571988656</v>
      </c>
    </row>
    <row r="29" spans="1:8" x14ac:dyDescent="0.2">
      <c r="A29" s="1" t="s">
        <v>30</v>
      </c>
      <c r="B29">
        <f>4*theta*phi*A2*Pmarea</f>
        <v>0</v>
      </c>
    </row>
    <row r="30" spans="1:8" x14ac:dyDescent="0.2">
      <c r="A30" t="s">
        <v>31</v>
      </c>
      <c r="B30">
        <f>2*theta</f>
        <v>1.2821635887441423</v>
      </c>
    </row>
    <row r="31" spans="1:8" x14ac:dyDescent="0.2">
      <c r="A31" s="1" t="s">
        <v>32</v>
      </c>
      <c r="B31">
        <f>(B27-SQRT(B28-B29))/B30</f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6"/>
  <sheetViews>
    <sheetView zoomScaleNormal="100" workbookViewId="0">
      <selection activeCell="M24" sqref="M24"/>
    </sheetView>
  </sheetViews>
  <sheetFormatPr defaultRowHeight="12.75" x14ac:dyDescent="0.2"/>
  <cols>
    <col min="14" max="14" width="12.42578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J1" t="s">
        <v>4</v>
      </c>
      <c r="K1">
        <v>0</v>
      </c>
      <c r="L1">
        <v>44.579745569459803</v>
      </c>
      <c r="M1">
        <v>77.190027596560199</v>
      </c>
      <c r="N1">
        <v>108.25696051555001</v>
      </c>
      <c r="O1">
        <v>77.705921909448193</v>
      </c>
      <c r="P1">
        <v>39.070730369424403</v>
      </c>
      <c r="Q1">
        <v>25.123694128129099</v>
      </c>
      <c r="R1">
        <v>18.381017684863199</v>
      </c>
    </row>
    <row r="2" spans="1:18" x14ac:dyDescent="0.2">
      <c r="A2">
        <v>0</v>
      </c>
      <c r="B2">
        <v>4.5999999999999999E-2</v>
      </c>
      <c r="C2">
        <f t="shared" ref="C2:C9" si="0">(phi*A2+Pmarea-SQRT((phi*A2+Pmarea)^2-4*theta*phi*A2*Pmarea))/(2*theta)</f>
        <v>0</v>
      </c>
      <c r="D2">
        <v>0</v>
      </c>
      <c r="F2">
        <v>0</v>
      </c>
      <c r="G2">
        <v>0</v>
      </c>
      <c r="H2">
        <v>0</v>
      </c>
      <c r="J2" t="s">
        <v>5</v>
      </c>
      <c r="K2">
        <v>0</v>
      </c>
      <c r="L2">
        <v>8.6309069871349196E-3</v>
      </c>
      <c r="M2">
        <v>3.6690401155148697E-2</v>
      </c>
      <c r="N2">
        <v>0.217731415562151</v>
      </c>
      <c r="O2">
        <v>0.52095752109572302</v>
      </c>
      <c r="P2">
        <v>0.76437388325183997</v>
      </c>
      <c r="Q2">
        <v>0.84772280143864798</v>
      </c>
      <c r="R2">
        <v>0.88805610295209003</v>
      </c>
    </row>
    <row r="3" spans="1:18" x14ac:dyDescent="0.2">
      <c r="A3">
        <v>50</v>
      </c>
      <c r="B3">
        <v>0.51500000000000001</v>
      </c>
      <c r="C3">
        <f t="shared" si="0"/>
        <v>0.5626819422891437</v>
      </c>
      <c r="D3">
        <v>0.56268194228914403</v>
      </c>
      <c r="F3">
        <v>44.579745569459803</v>
      </c>
      <c r="G3">
        <v>8.6309069871349196E-3</v>
      </c>
      <c r="H3">
        <v>8.67959950254205E-2</v>
      </c>
      <c r="J3" t="s">
        <v>6</v>
      </c>
      <c r="K3">
        <v>0</v>
      </c>
      <c r="L3">
        <v>8.67959950254205E-2</v>
      </c>
      <c r="M3">
        <v>0.31286592737187202</v>
      </c>
      <c r="N3">
        <v>1.1431012735227299</v>
      </c>
      <c r="O3">
        <v>1.4564306520600601</v>
      </c>
      <c r="P3">
        <v>1.0272338948444499</v>
      </c>
      <c r="Q3">
        <v>0.74019295559239895</v>
      </c>
      <c r="R3">
        <v>0.57290781705208105</v>
      </c>
    </row>
    <row r="4" spans="1:18" x14ac:dyDescent="0.2">
      <c r="A4">
        <v>100</v>
      </c>
      <c r="B4">
        <v>1.071</v>
      </c>
      <c r="C4">
        <f t="shared" si="0"/>
        <v>1.0572474026357375</v>
      </c>
      <c r="D4">
        <v>1.0572474026357399</v>
      </c>
      <c r="F4">
        <v>77.190027596560199</v>
      </c>
      <c r="G4">
        <v>3.6690401155148697E-2</v>
      </c>
      <c r="H4">
        <v>0.31286592737187202</v>
      </c>
    </row>
    <row r="5" spans="1:18" x14ac:dyDescent="0.2">
      <c r="A5">
        <v>250</v>
      </c>
      <c r="B5">
        <v>2.1459999999999999</v>
      </c>
      <c r="C5">
        <f t="shared" si="0"/>
        <v>2.1170992408404294</v>
      </c>
      <c r="D5">
        <v>2.1170992408404299</v>
      </c>
      <c r="F5">
        <v>108.25696051555001</v>
      </c>
      <c r="G5">
        <v>0.217731415562151</v>
      </c>
      <c r="H5">
        <v>1.1431012735227299</v>
      </c>
    </row>
    <row r="6" spans="1:18" x14ac:dyDescent="0.2">
      <c r="A6">
        <v>500</v>
      </c>
      <c r="B6">
        <v>2.8730000000000002</v>
      </c>
      <c r="C6">
        <f t="shared" si="0"/>
        <v>2.910861898653438</v>
      </c>
      <c r="D6">
        <v>2.9108618986534398</v>
      </c>
      <c r="F6">
        <v>77.705921909448193</v>
      </c>
      <c r="G6">
        <v>0.52095752109572302</v>
      </c>
      <c r="H6">
        <v>1.4564306520600601</v>
      </c>
    </row>
    <row r="7" spans="1:18" x14ac:dyDescent="0.2">
      <c r="A7">
        <v>1000</v>
      </c>
      <c r="B7">
        <v>3.415</v>
      </c>
      <c r="C7">
        <f t="shared" si="0"/>
        <v>3.3803824295612284</v>
      </c>
      <c r="D7">
        <v>3.3803824295612301</v>
      </c>
      <c r="F7">
        <v>39.070730369424403</v>
      </c>
      <c r="G7">
        <v>0.76437388325183997</v>
      </c>
      <c r="H7">
        <v>1.0272338948444499</v>
      </c>
    </row>
    <row r="8" spans="1:18" x14ac:dyDescent="0.2">
      <c r="A8">
        <v>1500</v>
      </c>
      <c r="B8">
        <v>3.5059999999999998</v>
      </c>
      <c r="C8">
        <f t="shared" si="0"/>
        <v>3.5326218694970462</v>
      </c>
      <c r="D8">
        <v>3.5326218694970501</v>
      </c>
      <c r="F8">
        <v>25.123694128129099</v>
      </c>
      <c r="G8">
        <v>0.84772280143864798</v>
      </c>
      <c r="H8">
        <v>0.74019295559239895</v>
      </c>
    </row>
    <row r="9" spans="1:18" x14ac:dyDescent="0.2">
      <c r="A9">
        <v>2000</v>
      </c>
      <c r="B9">
        <v>3.617</v>
      </c>
      <c r="C9">
        <f t="shared" si="0"/>
        <v>3.606368232279952</v>
      </c>
      <c r="D9">
        <v>3.60636823227996</v>
      </c>
      <c r="F9">
        <v>18.381017684863199</v>
      </c>
      <c r="G9">
        <v>0.88805610295209003</v>
      </c>
      <c r="H9">
        <v>0.57290781705208105</v>
      </c>
    </row>
    <row r="11" spans="1:18" x14ac:dyDescent="0.2">
      <c r="B11" t="s">
        <v>7</v>
      </c>
      <c r="C11">
        <f t="array" ref="C11">SUM((B2:B9-C2:C9)^2)</f>
        <v>8.8676134078255822E-3</v>
      </c>
    </row>
    <row r="12" spans="1:18" x14ac:dyDescent="0.2">
      <c r="B12" t="s">
        <v>8</v>
      </c>
      <c r="C12">
        <f>SQRT(C11/5)</f>
        <v>4.2113212672095161E-2</v>
      </c>
      <c r="F12" t="s">
        <v>17</v>
      </c>
    </row>
    <row r="13" spans="1:18" x14ac:dyDescent="0.2">
      <c r="F13">
        <f t="array" ref="F13:H15">MMULT(K1:R3,F2:H9)</f>
        <v>28199.017664633415</v>
      </c>
      <c r="G13">
        <v>134.75527162138638</v>
      </c>
      <c r="H13">
        <v>334.20321755200143</v>
      </c>
    </row>
    <row r="14" spans="1:18" x14ac:dyDescent="0.2">
      <c r="F14">
        <v>134.75527162138638</v>
      </c>
      <c r="G14">
        <v>2.4117694096681852</v>
      </c>
      <c r="H14">
        <v>2.9412993555951754</v>
      </c>
      <c r="J14" s="2" t="s">
        <v>18</v>
      </c>
      <c r="K14" s="3"/>
      <c r="L14" s="3"/>
      <c r="M14" s="3"/>
      <c r="N14" s="4"/>
    </row>
    <row r="15" spans="1:18" x14ac:dyDescent="0.2">
      <c r="A15" t="s">
        <v>10</v>
      </c>
      <c r="B15" t="s">
        <v>11</v>
      </c>
      <c r="C15" t="s">
        <v>12</v>
      </c>
      <c r="F15">
        <v>334.20321755200143</v>
      </c>
      <c r="G15">
        <v>2.9412993555951754</v>
      </c>
      <c r="H15">
        <v>5.4646078521173829</v>
      </c>
      <c r="J15" s="5"/>
      <c r="N15" s="6"/>
    </row>
    <row r="16" spans="1:18" x14ac:dyDescent="0.2">
      <c r="A16" s="1" t="s">
        <v>19</v>
      </c>
      <c r="B16">
        <f>B23*C16</f>
        <v>1.1883309206998101E-2</v>
      </c>
      <c r="C16">
        <v>1</v>
      </c>
      <c r="J16" s="5"/>
      <c r="N16" s="6"/>
    </row>
    <row r="17" spans="1:14" x14ac:dyDescent="0.2">
      <c r="A17" t="s">
        <v>14</v>
      </c>
      <c r="B17">
        <f>B24*C17</f>
        <v>3.8150072343074801</v>
      </c>
      <c r="C17">
        <v>1</v>
      </c>
      <c r="F17" t="s">
        <v>20</v>
      </c>
      <c r="J17" s="5" t="s">
        <v>10</v>
      </c>
      <c r="K17" t="s">
        <v>21</v>
      </c>
      <c r="L17" t="s">
        <v>22</v>
      </c>
      <c r="N17" s="6"/>
    </row>
    <row r="18" spans="1:14" x14ac:dyDescent="0.2">
      <c r="A18" s="1" t="s">
        <v>23</v>
      </c>
      <c r="B18">
        <f>B25*C18</f>
        <v>0.67659161443493898</v>
      </c>
      <c r="C18">
        <v>1</v>
      </c>
      <c r="F18">
        <f t="array" ref="F18:H20">MINVERSE(F13:H15)</f>
        <v>1.8860190575419874E-4</v>
      </c>
      <c r="G18">
        <v>1.0271464539484501E-2</v>
      </c>
      <c r="H18">
        <v>-1.7063038793235282E-2</v>
      </c>
      <c r="J18" s="5" t="s">
        <v>19</v>
      </c>
      <c r="K18" s="7">
        <v>1.1883309206998101E-2</v>
      </c>
      <c r="L18" s="7">
        <f>Bottom!B23</f>
        <v>3.241011465987139E-2</v>
      </c>
      <c r="N18" s="6"/>
    </row>
    <row r="19" spans="1:14" x14ac:dyDescent="0.2">
      <c r="F19">
        <v>1.0271464539484501E-2</v>
      </c>
      <c r="G19">
        <v>1.7662079116452207</v>
      </c>
      <c r="H19">
        <v>-1.5788329051083148</v>
      </c>
      <c r="J19" s="5" t="s">
        <v>14</v>
      </c>
      <c r="K19" s="7">
        <v>3.8150072343074801</v>
      </c>
      <c r="L19" s="7">
        <f>Bottom!B24</f>
        <v>2.9548872664111681</v>
      </c>
      <c r="N19" s="6"/>
    </row>
    <row r="20" spans="1:14" x14ac:dyDescent="0.2">
      <c r="F20">
        <v>-1.7063038793235279E-2</v>
      </c>
      <c r="G20">
        <v>-1.5788329051083148</v>
      </c>
      <c r="H20">
        <v>2.0763324614235592</v>
      </c>
      <c r="J20" s="5" t="s">
        <v>23</v>
      </c>
      <c r="K20" s="7">
        <v>0.67659161443493898</v>
      </c>
      <c r="L20" s="7">
        <f>Bottom!B25</f>
        <v>0.64108179437207113</v>
      </c>
      <c r="N20" s="6"/>
    </row>
    <row r="21" spans="1:14" x14ac:dyDescent="0.2">
      <c r="J21" s="5"/>
      <c r="N21" s="6"/>
    </row>
    <row r="22" spans="1:14" x14ac:dyDescent="0.2">
      <c r="A22" t="s">
        <v>10</v>
      </c>
      <c r="B22" t="s">
        <v>11</v>
      </c>
      <c r="C22" t="s">
        <v>8</v>
      </c>
      <c r="J22" s="5"/>
      <c r="N22" s="6"/>
    </row>
    <row r="23" spans="1:14" x14ac:dyDescent="0.2">
      <c r="A23" s="1" t="s">
        <v>19</v>
      </c>
      <c r="B23">
        <v>1.1883309206998101E-2</v>
      </c>
      <c r="C23">
        <f>C12*SQRT(F18)</f>
        <v>5.7835089490851301E-4</v>
      </c>
      <c r="J23" s="5" t="s">
        <v>10</v>
      </c>
      <c r="K23" t="s">
        <v>24</v>
      </c>
      <c r="L23" t="s">
        <v>25</v>
      </c>
      <c r="M23" t="s">
        <v>26</v>
      </c>
      <c r="N23" s="6" t="s">
        <v>27</v>
      </c>
    </row>
    <row r="24" spans="1:14" x14ac:dyDescent="0.2">
      <c r="A24" t="s">
        <v>14</v>
      </c>
      <c r="B24">
        <v>3.8150072343074801</v>
      </c>
      <c r="C24">
        <f>C12*SQRT(G19)</f>
        <v>5.5967935388600461E-2</v>
      </c>
      <c r="J24" s="5" t="s">
        <v>19</v>
      </c>
      <c r="K24" s="8">
        <v>5.7835089490851604E-4</v>
      </c>
      <c r="L24">
        <f>Bottom!C23</f>
        <v>4.4169120331327017E-3</v>
      </c>
      <c r="M24">
        <f>(K18-L18)/(SQRT((K24/2)^2+(L24/2)^2))</f>
        <v>-9.2159712570987473</v>
      </c>
      <c r="N24" s="9">
        <f>TDIST(ABS(M24),10,2)</f>
        <v>3.3418078017660889E-6</v>
      </c>
    </row>
    <row r="25" spans="1:14" x14ac:dyDescent="0.2">
      <c r="A25" s="1" t="s">
        <v>23</v>
      </c>
      <c r="B25">
        <v>0.67659161443493898</v>
      </c>
      <c r="C25">
        <f>C12*SQRT(H20)</f>
        <v>6.0682968902358504E-2</v>
      </c>
      <c r="J25" s="5" t="s">
        <v>14</v>
      </c>
      <c r="K25" s="8">
        <v>5.5967935388600398E-2</v>
      </c>
      <c r="L25">
        <f>Bottom!C24</f>
        <v>5.1036070999522218E-2</v>
      </c>
      <c r="M25">
        <f>(K19-L19)/(SQRT((K25/2)^2+(L25/2)^2))</f>
        <v>22.711362102216519</v>
      </c>
      <c r="N25" s="9">
        <f>TDIST(ABS(M25),10,2)</f>
        <v>6.1722469155952783E-10</v>
      </c>
    </row>
    <row r="26" spans="1:14" x14ac:dyDescent="0.2">
      <c r="J26" s="10" t="s">
        <v>23</v>
      </c>
      <c r="K26" s="11">
        <v>6.0682968902358699E-2</v>
      </c>
      <c r="L26" s="12">
        <f>Bottom!C25</f>
        <v>0.14507129341192684</v>
      </c>
      <c r="M26" s="12">
        <f>(K20-L20)/(SQRT((K26/2)^2+(L26/2)^2))</f>
        <v>0.45163029647038383</v>
      </c>
      <c r="N26" s="13">
        <f>TDIST(ABS(M26),10,2)</f>
        <v>0.66117230145902295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Bottom</vt:lpstr>
      <vt:lpstr>Top</vt:lpstr>
      <vt:lpstr>Bottom!phi</vt:lpstr>
      <vt:lpstr>Top!phi</vt:lpstr>
      <vt:lpstr>Bottom!Pmarea</vt:lpstr>
      <vt:lpstr>Top!Pmarea</vt:lpstr>
      <vt:lpstr>Top!solver_adj</vt:lpstr>
      <vt:lpstr>Top!solver_opt</vt:lpstr>
      <vt:lpstr>Bottom!theta</vt:lpstr>
      <vt:lpstr>Top!theta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Kristan</dc:creator>
  <dc:description/>
  <cp:lastModifiedBy>Bill Kristan</cp:lastModifiedBy>
  <cp:revision>1</cp:revision>
  <dcterms:created xsi:type="dcterms:W3CDTF">2014-10-14T18:14:43Z</dcterms:created>
  <dcterms:modified xsi:type="dcterms:W3CDTF">2023-03-23T19:37:43Z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