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45" windowWidth="14805" windowHeight="8070" tabRatio="861" activeTab="5"/>
  </bookViews>
  <sheets>
    <sheet name="Übersicht" sheetId="1" r:id="rId1"/>
    <sheet name="Detaildarstellung Tagesgeld" sheetId="2" r:id="rId2"/>
    <sheet name="Detaildarstellung Transaktionen" sheetId="3" r:id="rId3"/>
    <sheet name="Detaildarstellung Einzelpapiere" sheetId="4" r:id="rId4"/>
    <sheet name="Kurs- und Währungseffekte" sheetId="6" r:id="rId5"/>
    <sheet name="Risikoberechnung" sheetId="7" r:id="rId6"/>
  </sheets>
  <externalReferences>
    <externalReference r:id="rId7"/>
  </externalReferences>
  <calcPr calcId="171026"/>
</workbook>
</file>

<file path=xl/calcChain.xml><?xml version="1.0" encoding="utf-8"?>
<calcChain xmlns="http://schemas.openxmlformats.org/spreadsheetml/2006/main">
  <c r="Z17" i="4" l="1"/>
  <c r="Y16" i="4"/>
  <c r="Y15" i="4"/>
  <c r="X14" i="4"/>
  <c r="AA37" i="4"/>
  <c r="W36" i="4"/>
  <c r="X36" i="4"/>
  <c r="Y36" i="4"/>
  <c r="Z36" i="4"/>
  <c r="R35" i="4"/>
  <c r="S35" i="4"/>
  <c r="T35" i="4"/>
  <c r="U35" i="4"/>
  <c r="V35" i="4"/>
  <c r="AA34" i="4"/>
  <c r="Q34" i="4"/>
  <c r="R34" i="4"/>
  <c r="S34" i="4"/>
  <c r="T34" i="4"/>
  <c r="U34" i="4"/>
  <c r="V34" i="4"/>
  <c r="W34" i="4"/>
  <c r="X34" i="4"/>
  <c r="Y34" i="4"/>
  <c r="Z34" i="4"/>
  <c r="P34" i="4"/>
  <c r="Z30" i="4"/>
  <c r="V29" i="4"/>
  <c r="W29" i="4"/>
  <c r="X29" i="4"/>
  <c r="Y29" i="4"/>
  <c r="V28" i="4"/>
  <c r="W28" i="4"/>
  <c r="X28" i="4"/>
  <c r="Y28" i="4"/>
  <c r="Z28" i="4"/>
  <c r="AA28" i="4"/>
  <c r="T27" i="4"/>
  <c r="U27" i="4"/>
  <c r="Q26" i="4"/>
  <c r="R26" i="4"/>
  <c r="S26" i="4"/>
  <c r="P26" i="4"/>
  <c r="AA22" i="4"/>
  <c r="Q22" i="4"/>
  <c r="R22" i="4"/>
  <c r="S22" i="4"/>
  <c r="T22" i="4"/>
  <c r="U22" i="4"/>
  <c r="V22" i="4"/>
  <c r="W22" i="4"/>
  <c r="X22" i="4"/>
  <c r="Y22" i="4"/>
  <c r="Z22" i="4"/>
  <c r="Q21" i="4"/>
  <c r="R21" i="4"/>
  <c r="S21" i="4"/>
  <c r="T21" i="4"/>
  <c r="U21" i="4"/>
  <c r="P22" i="4"/>
  <c r="P21" i="4"/>
  <c r="AA10" i="4"/>
  <c r="AA12" i="4"/>
  <c r="AA13" i="4"/>
  <c r="AA15" i="4"/>
  <c r="AA17" i="4"/>
  <c r="Z10" i="4"/>
  <c r="Z12" i="4"/>
  <c r="Z13" i="4"/>
  <c r="Z15" i="4"/>
  <c r="Z16" i="4"/>
  <c r="Y9" i="4"/>
  <c r="Y10" i="4"/>
  <c r="Y11" i="4"/>
  <c r="Y12" i="4"/>
  <c r="Y13" i="4"/>
  <c r="Y14" i="4"/>
  <c r="X9" i="4"/>
  <c r="X10" i="4"/>
  <c r="X11" i="4"/>
  <c r="X12" i="4"/>
  <c r="X13" i="4"/>
  <c r="W9" i="4"/>
  <c r="W10" i="4"/>
  <c r="W11" i="4"/>
  <c r="W12" i="4"/>
  <c r="V7" i="4"/>
  <c r="V8" i="4"/>
  <c r="V9" i="4"/>
  <c r="V10" i="4"/>
  <c r="V11" i="4"/>
  <c r="U5" i="4"/>
  <c r="U6" i="4"/>
  <c r="U7" i="4"/>
  <c r="U8" i="4"/>
  <c r="U9" i="4"/>
  <c r="T5" i="4"/>
  <c r="T6" i="4"/>
  <c r="T7" i="4"/>
  <c r="T8" i="4"/>
  <c r="S4" i="4"/>
  <c r="S5" i="4"/>
  <c r="S6" i="4"/>
  <c r="S7" i="4"/>
  <c r="R4" i="4"/>
  <c r="R5" i="4"/>
  <c r="R6" i="4"/>
  <c r="R7" i="4"/>
  <c r="Q4" i="4"/>
  <c r="Q5" i="4"/>
  <c r="P4" i="4"/>
  <c r="P5" i="4"/>
  <c r="AA3" i="4"/>
  <c r="Y3" i="4"/>
  <c r="Z3" i="4"/>
  <c r="V3" i="4"/>
  <c r="W3" i="4"/>
  <c r="X3" i="4"/>
  <c r="R3" i="4"/>
  <c r="S3" i="4"/>
  <c r="T3" i="4"/>
  <c r="U3" i="4"/>
  <c r="Q3" i="4"/>
  <c r="P3" i="4"/>
  <c r="P64" i="3"/>
  <c r="N16" i="1"/>
  <c r="J15" i="6"/>
  <c r="I15" i="6"/>
  <c r="J7" i="6"/>
  <c r="I7" i="6"/>
  <c r="F79" i="3"/>
  <c r="E7" i="6"/>
  <c r="F59" i="3"/>
  <c r="F58" i="3"/>
  <c r="H7" i="6"/>
  <c r="H15" i="6"/>
  <c r="G17" i="2"/>
  <c r="E8" i="6"/>
  <c r="G7" i="6"/>
  <c r="G8" i="6"/>
  <c r="F19" i="3"/>
  <c r="C16" i="2"/>
  <c r="B15" i="6"/>
  <c r="F42" i="3"/>
  <c r="F16" i="2"/>
  <c r="C26" i="1"/>
  <c r="F57" i="3"/>
  <c r="F72" i="3"/>
  <c r="F78" i="3"/>
  <c r="B16" i="6"/>
  <c r="D15" i="6"/>
  <c r="D16" i="6"/>
  <c r="H79" i="3"/>
  <c r="H59" i="3"/>
  <c r="G16" i="2"/>
  <c r="B7" i="6"/>
  <c r="F18" i="3"/>
  <c r="H57" i="3"/>
  <c r="F17" i="3"/>
  <c r="H58" i="3"/>
  <c r="H9" i="1"/>
  <c r="G9" i="1"/>
  <c r="H8" i="1"/>
  <c r="G8" i="1"/>
  <c r="F34" i="3"/>
  <c r="E15" i="2"/>
  <c r="K16" i="1"/>
  <c r="F56" i="3"/>
  <c r="F16" i="3"/>
  <c r="C14" i="2"/>
  <c r="F71" i="3"/>
  <c r="F55" i="3"/>
  <c r="F54" i="3"/>
  <c r="E15" i="6"/>
  <c r="F15" i="3"/>
  <c r="C13" i="2"/>
  <c r="H16" i="1"/>
  <c r="D7" i="6"/>
  <c r="D8" i="6"/>
  <c r="B8" i="6"/>
  <c r="G15" i="6"/>
  <c r="G16" i="6"/>
  <c r="E16" i="6"/>
  <c r="H72" i="3"/>
  <c r="C15" i="2"/>
  <c r="I9" i="1"/>
  <c r="J9" i="1"/>
  <c r="H56" i="3"/>
  <c r="I8" i="1"/>
  <c r="J8" i="1"/>
  <c r="G15" i="2"/>
  <c r="H54" i="3"/>
  <c r="F64" i="3"/>
  <c r="P24" i="3"/>
  <c r="F24" i="3"/>
  <c r="P25" i="3"/>
  <c r="F25" i="3"/>
  <c r="F14" i="3"/>
  <c r="C12" i="2"/>
  <c r="F41" i="3"/>
  <c r="F53" i="3"/>
  <c r="F77" i="3"/>
  <c r="H77" i="3"/>
  <c r="J6" i="6"/>
  <c r="I6" i="6"/>
  <c r="F52" i="3"/>
  <c r="F12" i="2"/>
  <c r="H78" i="3"/>
  <c r="G12" i="2"/>
  <c r="H52" i="3"/>
  <c r="H6" i="6"/>
  <c r="F33" i="3"/>
  <c r="H71" i="3"/>
  <c r="C11" i="2"/>
  <c r="F13" i="3"/>
  <c r="H55" i="3"/>
  <c r="D22" i="1"/>
  <c r="G22" i="1"/>
  <c r="C20" i="1"/>
  <c r="F32" i="3"/>
  <c r="D7" i="1"/>
  <c r="H7" i="1"/>
  <c r="F12" i="3"/>
  <c r="E11" i="2"/>
  <c r="H22" i="1"/>
  <c r="H23" i="1"/>
  <c r="G7" i="1"/>
  <c r="C4" i="1"/>
  <c r="I5" i="2"/>
  <c r="G11" i="2"/>
  <c r="F51" i="3"/>
  <c r="H51" i="3"/>
  <c r="H64" i="3"/>
  <c r="F70" i="3"/>
  <c r="F50" i="3"/>
  <c r="H50" i="3"/>
  <c r="I7" i="1"/>
  <c r="J7" i="1"/>
  <c r="D25" i="3"/>
  <c r="D16" i="1"/>
  <c r="G16" i="1"/>
  <c r="F31" i="3"/>
  <c r="H70" i="3"/>
  <c r="F10" i="3"/>
  <c r="H53" i="3"/>
  <c r="G9" i="2"/>
  <c r="F49" i="3"/>
  <c r="H49" i="3"/>
  <c r="F69" i="3"/>
  <c r="H69" i="3"/>
  <c r="G28" i="1"/>
  <c r="G29" i="1"/>
  <c r="H6" i="1"/>
  <c r="H10" i="1"/>
  <c r="H28" i="1"/>
  <c r="H29" i="1"/>
  <c r="I16" i="1"/>
  <c r="J16" i="1"/>
  <c r="D6" i="2"/>
  <c r="B6" i="2"/>
  <c r="I6" i="2"/>
  <c r="I6" i="1"/>
  <c r="H17" i="1"/>
  <c r="C14" i="1"/>
  <c r="I22" i="1"/>
  <c r="I23" i="1"/>
  <c r="I10" i="1"/>
  <c r="J6" i="1"/>
  <c r="I28" i="1"/>
  <c r="I17" i="1"/>
  <c r="J17" i="1"/>
  <c r="J10" i="1"/>
  <c r="J22" i="1"/>
  <c r="J23" i="1"/>
  <c r="I29" i="1"/>
  <c r="B42" i="1"/>
  <c r="B31" i="1"/>
  <c r="B32" i="1"/>
  <c r="B33" i="1"/>
  <c r="B7" i="2"/>
  <c r="I7" i="2"/>
  <c r="B8" i="2"/>
  <c r="I8" i="2"/>
  <c r="B9" i="2"/>
  <c r="I9" i="2"/>
  <c r="B10" i="2"/>
  <c r="I10" i="2"/>
  <c r="B11" i="2"/>
  <c r="I11" i="2"/>
  <c r="B12" i="2"/>
  <c r="I12" i="2"/>
  <c r="B13" i="2"/>
  <c r="I13" i="2"/>
  <c r="B14" i="2"/>
  <c r="I14" i="2"/>
  <c r="B15" i="2"/>
  <c r="I15" i="2"/>
  <c r="B16" i="2"/>
  <c r="I16" i="2"/>
  <c r="B17" i="2"/>
  <c r="I17" i="2"/>
  <c r="B38" i="1"/>
  <c r="B18" i="2"/>
  <c r="B37" i="1"/>
  <c r="B41" i="1"/>
  <c r="B43" i="1"/>
  <c r="B44" i="1"/>
</calcChain>
</file>

<file path=xl/sharedStrings.xml><?xml version="1.0" encoding="utf-8"?>
<sst xmlns="http://schemas.openxmlformats.org/spreadsheetml/2006/main" count="446" uniqueCount="175">
  <si>
    <t>Übersicht</t>
  </si>
  <si>
    <t>Aktien</t>
  </si>
  <si>
    <t>Name</t>
  </si>
  <si>
    <t>WKN</t>
  </si>
  <si>
    <t>Kaufzeitpunkt</t>
  </si>
  <si>
    <t>Kaufkurs</t>
  </si>
  <si>
    <t>aktueller Kurs</t>
  </si>
  <si>
    <t>aktueller Wert</t>
  </si>
  <si>
    <t>Gewinn</t>
  </si>
  <si>
    <t>Rendite</t>
  </si>
  <si>
    <t>Investition</t>
  </si>
  <si>
    <t>Borussia Dortmund (BVB)</t>
  </si>
  <si>
    <t>Anleihen</t>
  </si>
  <si>
    <t>Optionen</t>
  </si>
  <si>
    <t>Rohstoffe</t>
  </si>
  <si>
    <t>aktueller Depotwert</t>
  </si>
  <si>
    <t>Gesamtrendite</t>
  </si>
  <si>
    <t>Tagesgeld</t>
  </si>
  <si>
    <t>Saldo</t>
  </si>
  <si>
    <t>Tagesgeldkonto</t>
  </si>
  <si>
    <t>Datum</t>
  </si>
  <si>
    <t>zur Verfügung</t>
  </si>
  <si>
    <t>stehende Summe</t>
  </si>
  <si>
    <t>Investierte Summe</t>
  </si>
  <si>
    <t>Optionsscheine</t>
  </si>
  <si>
    <t>Erhalte Summe</t>
  </si>
  <si>
    <t>Tage</t>
  </si>
  <si>
    <t>Zinsen</t>
  </si>
  <si>
    <t>Kaufübersicht</t>
  </si>
  <si>
    <t>Kaufdatum</t>
  </si>
  <si>
    <t>Stück</t>
  </si>
  <si>
    <t>Gesamtkaufbetrag</t>
  </si>
  <si>
    <t>Grund</t>
  </si>
  <si>
    <t>Sportlicher Erfolg, insbesondere in der Champions League, des BVB</t>
  </si>
  <si>
    <t>Verkaufsübersicht</t>
  </si>
  <si>
    <t>Verkaufdatum</t>
  </si>
  <si>
    <t>Verkaufskurs</t>
  </si>
  <si>
    <t>Ges. Verkaufsbetrag</t>
  </si>
  <si>
    <t>Huaneng Power International</t>
  </si>
  <si>
    <t>A0M276</t>
  </si>
  <si>
    <t>Frankfurt</t>
  </si>
  <si>
    <t>Börse</t>
  </si>
  <si>
    <t>Bauträger neuer Atomkraftwerke in Japan</t>
  </si>
  <si>
    <t>HeidelbergCement Finance BV-Anleihe</t>
  </si>
  <si>
    <t>A1GV10</t>
  </si>
  <si>
    <t>Stuttgart</t>
  </si>
  <si>
    <t>Investitionen in die Cloudinfrastruktur, im Zusammenhang damit wachsende Jahresumsätze</t>
  </si>
  <si>
    <t>SAP AG</t>
  </si>
  <si>
    <t>FSE</t>
  </si>
  <si>
    <t>Bundesanleihe</t>
  </si>
  <si>
    <t>Lang und Schwarz</t>
  </si>
  <si>
    <t>Kupon-Zertifikat auf Deutsche Bank von Deutsche Bank bis 15.09.2014 DB5JGG</t>
  </si>
  <si>
    <t>DB5JGG</t>
  </si>
  <si>
    <t>Gold</t>
  </si>
  <si>
    <t>100 Unzen</t>
  </si>
  <si>
    <t>Stabiles Wachstum der deutschen Wirtschaft im letzten Jahr</t>
  </si>
  <si>
    <t>Steigende Goldpreise erwartet</t>
  </si>
  <si>
    <t xml:space="preserve">Stabiles Wachstum, neue Produktionskapazitäten in Zentralafrika und Indien </t>
  </si>
  <si>
    <t>Quelle: www.finanzen.net</t>
  </si>
  <si>
    <t>Gesamt:</t>
  </si>
  <si>
    <t>Kurs- und Währungseffekte Rohstoffe</t>
  </si>
  <si>
    <t>Einkauf</t>
  </si>
  <si>
    <t>€ Einkauf</t>
  </si>
  <si>
    <t>Ein Euro kostet</t>
  </si>
  <si>
    <t>$ Einkauf</t>
  </si>
  <si>
    <t>Verkauf</t>
  </si>
  <si>
    <t>$ Verkauf</t>
  </si>
  <si>
    <t>Effekte</t>
  </si>
  <si>
    <t>Kurseffekt</t>
  </si>
  <si>
    <t>Kurs- + Währungseffekt</t>
  </si>
  <si>
    <t>Währungseffekt</t>
  </si>
  <si>
    <t>Kakao</t>
  </si>
  <si>
    <t>Summe</t>
  </si>
  <si>
    <t>50 Tonnen</t>
  </si>
  <si>
    <t>Warmer Sommer, dadurch erhöhter Kakaokonsum erwartet</t>
  </si>
  <si>
    <t>Start (01.04.13)</t>
  </si>
  <si>
    <t>BB Biotech AG</t>
  </si>
  <si>
    <t>A0NFN3</t>
  </si>
  <si>
    <t>Steigende Tendenz in den letzen 5 Jahren, wir erwarten daher weiterhin einen steigenden Kurs</t>
  </si>
  <si>
    <t>Biogen Idec Inc.</t>
  </si>
  <si>
    <t>Gesamtvermögen</t>
  </si>
  <si>
    <t>Investierte Gesamtsumme</t>
  </si>
  <si>
    <t>Zinseinnahmen gesamt</t>
  </si>
  <si>
    <t>Gesamtgewinn</t>
  </si>
  <si>
    <t>Wir erwarten Schwankungen und haben über 4 Prozent Rendite in einem Monat erwirtschaftet</t>
  </si>
  <si>
    <t>aktueller Gewinn im Depot</t>
  </si>
  <si>
    <t>aktuelle Rendite im Depot</t>
  </si>
  <si>
    <t>Papier wird sehr wenig gehandelt, daher wollen wir den Gewinn mitnehmen</t>
  </si>
  <si>
    <t>Strompreiserhöhung vorrüber, daher erwarten wir eine Stabilisierung des Kurses nach oben</t>
  </si>
  <si>
    <t>RWE AG</t>
  </si>
  <si>
    <t>PUT auf SAP AG</t>
  </si>
  <si>
    <t>TB5SXV</t>
  </si>
  <si>
    <t>euwax</t>
  </si>
  <si>
    <t>"Versicherung" für unsere SAP Aktien um weiteren Abfall abzusichern. Wollen nicht mit Verlust jetzt die Aktie verkaufen</t>
  </si>
  <si>
    <t>Gute Wirtschaftsprognosen für die deutsche Wirtschaft für das kommende Jahr (sichere Verzinsung)</t>
  </si>
  <si>
    <t>Stückzinsen</t>
  </si>
  <si>
    <t>Reininvestition</t>
  </si>
  <si>
    <t>Stückelung</t>
  </si>
  <si>
    <t>Apple Inc.</t>
  </si>
  <si>
    <t>Steuererspaarung von Apple, zudem steht Verkauf Iphone 5S in den nächsten Monaten bevor</t>
  </si>
  <si>
    <t>Über 7% Rendite erwirtschaftet</t>
  </si>
  <si>
    <t>Da wir die SAP-Aktien verkaufen, benötigen wir unsere "Versicherung" nicht mehr</t>
  </si>
  <si>
    <t>Anleihe ist seit Kauf stark gestiegen, daher erwarten wir keine weiteren Steigerungen mehr</t>
  </si>
  <si>
    <t>Verkauf, da seit langer Zeit wieder über Kaufkurs</t>
  </si>
  <si>
    <t>Stückzahl</t>
  </si>
  <si>
    <t>Fresenius SE &amp; Co. KGaA</t>
  </si>
  <si>
    <t>Medizintechnik wächst immer, daher erwarten wir einen steigenden Kurs</t>
  </si>
  <si>
    <t>OutperformanceChance Zertifikat auf Bayer</t>
  </si>
  <si>
    <t>DZ5C1N</t>
  </si>
  <si>
    <t>Positive Entwicklung in aktueller Vergangenheit</t>
  </si>
  <si>
    <t>Pharma- und Chemieindustrie wird weiterhin wachsen und wird immer benötigt</t>
  </si>
  <si>
    <t>Merck KGaA</t>
  </si>
  <si>
    <t>Kupon</t>
  </si>
  <si>
    <t>OutperformanceChance Zertifikat auf Lufthansa</t>
  </si>
  <si>
    <t>DZ5C1X</t>
  </si>
  <si>
    <t>Gute Wirtschaftsprognose für Lufthansa</t>
  </si>
  <si>
    <t>Verkauf, da hohe Rendite erzielt wurde</t>
  </si>
  <si>
    <t>Erwartung, dass sich Kakaobedarf nun senken wird</t>
  </si>
  <si>
    <t>€ Verkauf</t>
  </si>
  <si>
    <t>$1,2884</t>
  </si>
  <si>
    <t>Unsichere Prognosen vorhanden</t>
  </si>
  <si>
    <t>Weizen</t>
  </si>
  <si>
    <t>250 Tonnen</t>
  </si>
  <si>
    <t>Hoher Bedarf an Weizen durch den höheren Bierkonsum im Sommer</t>
  </si>
  <si>
    <t>Evotec AG</t>
  </si>
  <si>
    <t>Kooperation mit Havard University zur Entwicklung antibakterieller Wirkstoffe</t>
  </si>
  <si>
    <t>Stückzinsen akt.</t>
  </si>
  <si>
    <t>Stückzinsen Kauf</t>
  </si>
  <si>
    <t xml:space="preserve">BAY001 </t>
  </si>
  <si>
    <t xml:space="preserve">Bayer Aktie </t>
  </si>
  <si>
    <t>Steigende Tendenz in den letzen 3 Jahren, wir erwarten daher weiterhin einen steigenden Kurs</t>
  </si>
  <si>
    <t>Bayer AG</t>
  </si>
  <si>
    <t>Gewinne verkaufen um Verluste auszugleichen</t>
  </si>
  <si>
    <t>Stutgart</t>
  </si>
  <si>
    <t>Sinkende Tendenz der Option wegen ungünstigem Kursverlauf der Aktie</t>
  </si>
  <si>
    <t>Infineon Technologie</t>
  </si>
  <si>
    <t>Halbleiterhersteller, passt in unser Portfolio und unsere Anlagestrategie</t>
  </si>
  <si>
    <t>Unerwartet rascher Anstieg der Aktie, daher sofortiger Wiederverkauf</t>
  </si>
  <si>
    <t>Optionsschein auf Bayer von Commerzbank AG</t>
  </si>
  <si>
    <t>CZ3E03</t>
  </si>
  <si>
    <t>Versicherung für unsere Bayer AG Aktie gegen fallende Kurse</t>
  </si>
  <si>
    <t>PSA Peugeot Citroen</t>
  </si>
  <si>
    <t>Suttgart</t>
  </si>
  <si>
    <t>Investition in neue Hybrig-Technik, dadurch erwarten wir steigende Kurse und Erfolg</t>
  </si>
  <si>
    <t>Brenntag AG</t>
  </si>
  <si>
    <t>Passt gut in unser Portfolio, da es sich um ein Chemieindustrieunternehmen handelt</t>
  </si>
  <si>
    <t>A1DAHH</t>
  </si>
  <si>
    <t>Gewinn mitnehmen vor Ende der Periode</t>
  </si>
  <si>
    <t>Spekulation sehr erfolgreich, Gewinn nicht verpassen</t>
  </si>
  <si>
    <t>Gewinn in überraschend kurzer Zeit</t>
  </si>
  <si>
    <t>Ölpreis (WTI)</t>
  </si>
  <si>
    <t>3500 Barrel</t>
  </si>
  <si>
    <t>Spekulation auf Öl zum Abschluss</t>
  </si>
  <si>
    <t>Ölpreis</t>
  </si>
  <si>
    <t>Kurs- und Währungseffekte Aktien</t>
  </si>
  <si>
    <t>Apple</t>
  </si>
  <si>
    <t>Carl Zeiss Meditec</t>
  </si>
  <si>
    <t>Stehen kurz vor dem Periodenende, es wurde nochmal eine sehr gute Prognose rausgegeben</t>
  </si>
  <si>
    <t>Letzte Handlungsmöglichkeit, daher den Gewinn sofort mitnehmen</t>
  </si>
  <si>
    <t>Öl</t>
  </si>
  <si>
    <t>-</t>
  </si>
  <si>
    <t>KGV2012</t>
  </si>
  <si>
    <t>KUV2013e</t>
  </si>
  <si>
    <t>KCV2013e</t>
  </si>
  <si>
    <t>keine Daten</t>
  </si>
  <si>
    <t>Zu Punkt 2 Ihres Feedbacks der 8. Abgabe:</t>
  </si>
  <si>
    <t>Der Wert 140388,89 war nicht ganz korrekt, da wir die Tage seit der letzten Zinsauszahlung falsch</t>
  </si>
  <si>
    <t>ermittelt hatten. Jedoch kommen wir nun auf 140744,57 Euro, ich habe mir mal Ihren Wert angeschaut</t>
  </si>
  <si>
    <t>und bemerkt, dass Sie dort mit 365 Tagen rechnen. Die HeidelbergCement-Anleihe wird jedoch</t>
  </si>
  <si>
    <t>halbjährlich verzinst, daher haben wir mit 184 Tagen gerechnet. Daher kommt dann auch unsere</t>
  </si>
  <si>
    <t>Abweichung zu Ihrem Wert. Ist unsere Berechnung dann trotzdem noch falsch?</t>
  </si>
  <si>
    <t>Vielen Dank und freundliche Grüße</t>
  </si>
  <si>
    <t>Gruppe 12</t>
  </si>
  <si>
    <t>30 Tage Volatilität</t>
  </si>
  <si>
    <t>250 Tage Volatilität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</si>
</sst>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0\ &quot;€&quot;"/>
    <numFmt numFmtId="165" formatCode="#,##0.00&quot; €&quot;"/>
    <numFmt numFmtId="166" formatCode="#,##0\ [$€-1];[Red]\-#,##0\ [$€-1]"/>
    <numFmt numFmtId="167" formatCode="#,##0.00\ [$€-1];[Red]\-#,##0.00\ [$€-1]"/>
    <numFmt numFmtId="168" formatCode="[$$-409]#,##0.00"/>
    <numFmt numFmtId="169" formatCode="[$$-409]#,##0.0000"/>
    <numFmt numFmtId="170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/>
    <xf numFmtId="9" fontId="16" fillId="0" borderId="0" applyFont="0" applyFill="0" applyBorder="0" applyAlignment="0" applyProtection="0"/>
  </cellStyleXfs>
  <cellXfs count="229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4" fillId="2" borderId="3" xfId="0" applyFont="1" applyFill="1" applyBorder="1"/>
    <xf numFmtId="0" fontId="0" fillId="2" borderId="3" xfId="0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0" fontId="0" fillId="0" borderId="0" xfId="0" applyNumberFormat="1" applyBorder="1"/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4" fillId="2" borderId="11" xfId="0" applyFont="1" applyFill="1" applyBorder="1"/>
    <xf numFmtId="0" fontId="0" fillId="2" borderId="12" xfId="0" applyFill="1" applyBorder="1"/>
    <xf numFmtId="9" fontId="0" fillId="2" borderId="12" xfId="0" applyNumberFormat="1" applyFill="1" applyBorder="1"/>
    <xf numFmtId="164" fontId="0" fillId="0" borderId="0" xfId="0" applyNumberFormat="1"/>
    <xf numFmtId="0" fontId="0" fillId="2" borderId="6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164" fontId="0" fillId="0" borderId="1" xfId="0" applyNumberFormat="1" applyBorder="1"/>
    <xf numFmtId="164" fontId="0" fillId="0" borderId="12" xfId="0" applyNumberFormat="1" applyBorder="1"/>
    <xf numFmtId="164" fontId="0" fillId="0" borderId="1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/>
    </xf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4" fillId="0" borderId="0" xfId="0" applyFont="1" applyFill="1"/>
    <xf numFmtId="0" fontId="0" fillId="0" borderId="0" xfId="0" applyFill="1"/>
    <xf numFmtId="0" fontId="8" fillId="0" borderId="0" xfId="1" applyFont="1" applyBorder="1" applyAlignment="1" applyProtection="1">
      <alignment vertical="center"/>
    </xf>
    <xf numFmtId="0" fontId="0" fillId="0" borderId="0" xfId="0" applyFont="1" applyBorder="1" applyAlignment="1">
      <alignment horizontal="right"/>
    </xf>
    <xf numFmtId="14" fontId="0" fillId="0" borderId="0" xfId="0" applyNumberFormat="1" applyBorder="1"/>
    <xf numFmtId="165" fontId="0" fillId="0" borderId="0" xfId="0" applyNumberFormat="1"/>
    <xf numFmtId="0" fontId="3" fillId="0" borderId="0" xfId="0" applyFont="1" applyFill="1"/>
    <xf numFmtId="166" fontId="0" fillId="0" borderId="0" xfId="0" applyNumberFormat="1"/>
    <xf numFmtId="167" fontId="3" fillId="0" borderId="0" xfId="0" applyNumberFormat="1" applyFont="1" applyFill="1"/>
    <xf numFmtId="0" fontId="4" fillId="2" borderId="0" xfId="0" applyFont="1" applyFill="1" applyBorder="1"/>
    <xf numFmtId="164" fontId="0" fillId="0" borderId="10" xfId="0" applyNumberFormat="1" applyBorder="1"/>
    <xf numFmtId="164" fontId="0" fillId="0" borderId="14" xfId="0" applyNumberFormat="1" applyBorder="1"/>
    <xf numFmtId="167" fontId="3" fillId="0" borderId="1" xfId="0" applyNumberFormat="1" applyFont="1" applyFill="1" applyBorder="1"/>
    <xf numFmtId="165" fontId="0" fillId="0" borderId="1" xfId="0" applyNumberFormat="1" applyBorder="1"/>
    <xf numFmtId="0" fontId="0" fillId="0" borderId="0" xfId="0" applyBorder="1" applyAlignment="1">
      <alignment horizontal="right"/>
    </xf>
    <xf numFmtId="164" fontId="0" fillId="0" borderId="0" xfId="0" applyNumberFormat="1" applyFill="1"/>
    <xf numFmtId="14" fontId="0" fillId="0" borderId="6" xfId="0" applyNumberFormat="1" applyBorder="1"/>
    <xf numFmtId="164" fontId="0" fillId="2" borderId="3" xfId="0" applyNumberFormat="1" applyFill="1" applyBorder="1"/>
    <xf numFmtId="164" fontId="0" fillId="0" borderId="0" xfId="0" applyNumberFormat="1" applyFont="1" applyFill="1"/>
    <xf numFmtId="0" fontId="0" fillId="0" borderId="0" xfId="0" applyFont="1" applyFill="1"/>
    <xf numFmtId="164" fontId="9" fillId="0" borderId="0" xfId="0" applyNumberFormat="1" applyFont="1"/>
    <xf numFmtId="10" fontId="9" fillId="0" borderId="0" xfId="0" applyNumberFormat="1" applyFont="1"/>
    <xf numFmtId="0" fontId="10" fillId="0" borderId="0" xfId="0" applyFont="1"/>
    <xf numFmtId="0" fontId="0" fillId="7" borderId="0" xfId="0" applyFill="1"/>
    <xf numFmtId="0" fontId="0" fillId="7" borderId="11" xfId="0" applyFill="1" applyBorder="1"/>
    <xf numFmtId="0" fontId="0" fillId="7" borderId="13" xfId="0" applyFill="1" applyBorder="1"/>
    <xf numFmtId="0" fontId="0" fillId="8" borderId="13" xfId="0" applyFill="1" applyBorder="1"/>
    <xf numFmtId="0" fontId="0" fillId="9" borderId="13" xfId="0" applyFill="1" applyBorder="1"/>
    <xf numFmtId="0" fontId="0" fillId="9" borderId="12" xfId="0" applyFill="1" applyBorder="1"/>
    <xf numFmtId="0" fontId="0" fillId="7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10" borderId="4" xfId="0" applyFill="1" applyBorder="1"/>
    <xf numFmtId="0" fontId="0" fillId="10" borderId="0" xfId="0" applyFill="1"/>
    <xf numFmtId="0" fontId="0" fillId="0" borderId="8" xfId="0" applyFill="1" applyBorder="1"/>
    <xf numFmtId="0" fontId="0" fillId="0" borderId="0" xfId="0" applyFill="1" applyBorder="1"/>
    <xf numFmtId="0" fontId="4" fillId="0" borderId="8" xfId="0" applyFon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8" fontId="0" fillId="7" borderId="1" xfId="0" applyNumberFormat="1" applyFill="1" applyBorder="1"/>
    <xf numFmtId="169" fontId="0" fillId="7" borderId="1" xfId="0" applyNumberFormat="1" applyFill="1" applyBorder="1"/>
    <xf numFmtId="0" fontId="0" fillId="10" borderId="12" xfId="0" applyFill="1" applyBorder="1"/>
    <xf numFmtId="14" fontId="0" fillId="0" borderId="0" xfId="0" applyNumberFormat="1" applyFont="1" applyFill="1"/>
    <xf numFmtId="164" fontId="0" fillId="7" borderId="0" xfId="0" applyNumberFormat="1" applyFill="1"/>
    <xf numFmtId="168" fontId="0" fillId="7" borderId="0" xfId="0" applyNumberFormat="1" applyFill="1"/>
    <xf numFmtId="164" fontId="0" fillId="0" borderId="6" xfId="0" applyNumberFormat="1" applyFont="1" applyFill="1" applyBorder="1"/>
    <xf numFmtId="164" fontId="0" fillId="0" borderId="1" xfId="0" applyNumberFormat="1" applyFont="1" applyFill="1" applyBorder="1"/>
    <xf numFmtId="164" fontId="0" fillId="0" borderId="1" xfId="0" applyNumberFormat="1" applyFill="1" applyBorder="1"/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167" fontId="0" fillId="0" borderId="0" xfId="0" applyNumberFormat="1" applyBorder="1"/>
    <xf numFmtId="164" fontId="0" fillId="2" borderId="12" xfId="0" applyNumberFormat="1" applyFill="1" applyBorder="1"/>
    <xf numFmtId="0" fontId="4" fillId="2" borderId="2" xfId="0" applyFont="1" applyFill="1" applyBorder="1"/>
    <xf numFmtId="164" fontId="0" fillId="2" borderId="4" xfId="0" applyNumberFormat="1" applyFill="1" applyBorder="1"/>
    <xf numFmtId="164" fontId="12" fillId="0" borderId="14" xfId="0" applyNumberFormat="1" applyFont="1" applyBorder="1"/>
    <xf numFmtId="164" fontId="0" fillId="0" borderId="15" xfId="0" applyNumberFormat="1" applyBorder="1"/>
    <xf numFmtId="164" fontId="11" fillId="0" borderId="1" xfId="0" applyNumberFormat="1" applyFont="1" applyBorder="1"/>
    <xf numFmtId="0" fontId="0" fillId="0" borderId="0" xfId="0" applyFont="1" applyFill="1" applyBorder="1"/>
    <xf numFmtId="164" fontId="11" fillId="0" borderId="0" xfId="0" applyNumberFormat="1" applyFont="1" applyFill="1"/>
    <xf numFmtId="1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164" fontId="11" fillId="0" borderId="0" xfId="0" applyNumberFormat="1" applyFont="1" applyBorder="1" applyAlignment="1">
      <alignment horizontal="right"/>
    </xf>
    <xf numFmtId="10" fontId="3" fillId="0" borderId="0" xfId="0" applyNumberFormat="1" applyFont="1" applyFill="1" applyBorder="1"/>
    <xf numFmtId="0" fontId="0" fillId="2" borderId="4" xfId="0" applyFill="1" applyBorder="1"/>
    <xf numFmtId="170" fontId="0" fillId="0" borderId="0" xfId="0" applyNumberFormat="1" applyFont="1" applyBorder="1"/>
    <xf numFmtId="0" fontId="4" fillId="2" borderId="7" xfId="0" applyFont="1" applyFill="1" applyBorder="1"/>
    <xf numFmtId="10" fontId="0" fillId="0" borderId="0" xfId="0" applyNumberFormat="1" applyFill="1"/>
    <xf numFmtId="164" fontId="0" fillId="0" borderId="0" xfId="0" applyNumberFormat="1" applyFont="1" applyFill="1" applyBorder="1"/>
    <xf numFmtId="164" fontId="0" fillId="0" borderId="0" xfId="0" applyNumberFormat="1" applyFont="1" applyBorder="1"/>
    <xf numFmtId="170" fontId="0" fillId="0" borderId="0" xfId="0" applyNumberFormat="1" applyFont="1" applyFill="1" applyBorder="1"/>
    <xf numFmtId="164" fontId="11" fillId="0" borderId="0" xfId="0" applyNumberFormat="1" applyFont="1"/>
    <xf numFmtId="0" fontId="13" fillId="2" borderId="7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64" fontId="0" fillId="2" borderId="3" xfId="0" applyNumberFormat="1" applyFont="1" applyFill="1" applyBorder="1"/>
    <xf numFmtId="0" fontId="0" fillId="2" borderId="4" xfId="0" applyFont="1" applyFill="1" applyBorder="1"/>
    <xf numFmtId="165" fontId="14" fillId="0" borderId="7" xfId="0" applyNumberFormat="1" applyFont="1" applyFill="1" applyBorder="1"/>
    <xf numFmtId="0" fontId="13" fillId="2" borderId="6" xfId="0" applyFont="1" applyFill="1" applyBorder="1"/>
    <xf numFmtId="0" fontId="6" fillId="0" borderId="0" xfId="0" applyFont="1" applyFill="1" applyBorder="1"/>
    <xf numFmtId="164" fontId="0" fillId="0" borderId="0" xfId="0" applyNumberFormat="1" applyFill="1" applyBorder="1"/>
    <xf numFmtId="0" fontId="1" fillId="0" borderId="5" xfId="0" applyFont="1" applyFill="1" applyBorder="1"/>
    <xf numFmtId="0" fontId="0" fillId="0" borderId="6" xfId="0" applyFont="1" applyFill="1" applyBorder="1"/>
    <xf numFmtId="14" fontId="0" fillId="0" borderId="6" xfId="0" applyNumberFormat="1" applyFont="1" applyFill="1" applyBorder="1"/>
    <xf numFmtId="10" fontId="1" fillId="0" borderId="6" xfId="0" applyNumberFormat="1" applyFont="1" applyFill="1" applyBorder="1"/>
    <xf numFmtId="10" fontId="0" fillId="0" borderId="6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8" borderId="0" xfId="0" applyFill="1"/>
    <xf numFmtId="0" fontId="0" fillId="9" borderId="0" xfId="0" applyFill="1"/>
    <xf numFmtId="164" fontId="0" fillId="0" borderId="1" xfId="0" applyNumberFormat="1" applyFont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/>
    <xf numFmtId="10" fontId="0" fillId="0" borderId="0" xfId="0" applyNumberFormat="1" applyFont="1" applyFill="1"/>
    <xf numFmtId="164" fontId="9" fillId="0" borderId="15" xfId="0" applyNumberFormat="1" applyFont="1" applyBorder="1"/>
    <xf numFmtId="10" fontId="9" fillId="0" borderId="14" xfId="0" applyNumberFormat="1" applyFon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6" xfId="0" applyNumberFormat="1" applyFont="1" applyFill="1" applyBorder="1"/>
    <xf numFmtId="0" fontId="4" fillId="0" borderId="0" xfId="0" applyFont="1" applyAlignment="1">
      <alignment horizontal="right"/>
    </xf>
    <xf numFmtId="164" fontId="13" fillId="0" borderId="0" xfId="0" applyNumberFormat="1" applyFont="1" applyBorder="1" applyAlignment="1">
      <alignment horizontal="right"/>
    </xf>
    <xf numFmtId="0" fontId="1" fillId="0" borderId="0" xfId="0" applyFont="1" applyFill="1"/>
    <xf numFmtId="0" fontId="14" fillId="0" borderId="0" xfId="0" applyFont="1" applyBorder="1" applyAlignment="1">
      <alignment horizontal="left" vertical="center"/>
    </xf>
    <xf numFmtId="170" fontId="0" fillId="0" borderId="0" xfId="0" applyNumberFormat="1" applyFont="1" applyFill="1" applyBorder="1" applyAlignment="1">
      <alignment wrapText="1"/>
    </xf>
    <xf numFmtId="170" fontId="0" fillId="0" borderId="8" xfId="0" applyNumberFormat="1" applyFont="1" applyFill="1" applyBorder="1"/>
    <xf numFmtId="0" fontId="14" fillId="0" borderId="0" xfId="0" applyFont="1" applyBorder="1"/>
    <xf numFmtId="10" fontId="9" fillId="0" borderId="0" xfId="0" applyNumberFormat="1" applyFont="1" applyBorder="1"/>
    <xf numFmtId="165" fontId="9" fillId="0" borderId="0" xfId="0" applyNumberFormat="1" applyFont="1" applyBorder="1"/>
    <xf numFmtId="10" fontId="9" fillId="0" borderId="3" xfId="0" applyNumberFormat="1" applyFont="1" applyBorder="1"/>
    <xf numFmtId="0" fontId="11" fillId="0" borderId="0" xfId="0" applyFont="1"/>
    <xf numFmtId="14" fontId="0" fillId="3" borderId="0" xfId="0" applyNumberFormat="1" applyFill="1" applyBorder="1"/>
    <xf numFmtId="164" fontId="0" fillId="8" borderId="0" xfId="0" applyNumberFormat="1" applyFill="1"/>
    <xf numFmtId="168" fontId="0" fillId="8" borderId="1" xfId="0" applyNumberFormat="1" applyFill="1" applyBorder="1"/>
    <xf numFmtId="168" fontId="0" fillId="8" borderId="0" xfId="0" applyNumberFormat="1" applyFill="1"/>
    <xf numFmtId="10" fontId="0" fillId="9" borderId="1" xfId="0" applyNumberFormat="1" applyFill="1" applyBorder="1"/>
    <xf numFmtId="1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165" fontId="14" fillId="0" borderId="0" xfId="0" applyNumberFormat="1" applyFont="1" applyFill="1" applyBorder="1"/>
    <xf numFmtId="167" fontId="1" fillId="0" borderId="0" xfId="0" applyNumberFormat="1" applyFont="1" applyFill="1"/>
    <xf numFmtId="165" fontId="11" fillId="0" borderId="6" xfId="0" applyNumberFormat="1" applyFont="1" applyFill="1" applyBorder="1"/>
    <xf numFmtId="10" fontId="11" fillId="0" borderId="6" xfId="0" applyNumberFormat="1" applyFont="1" applyFill="1" applyBorder="1"/>
    <xf numFmtId="164" fontId="11" fillId="0" borderId="0" xfId="0" applyNumberFormat="1" applyFont="1" applyBorder="1"/>
    <xf numFmtId="10" fontId="11" fillId="0" borderId="0" xfId="0" applyNumberFormat="1" applyFont="1" applyBorder="1"/>
    <xf numFmtId="14" fontId="14" fillId="5" borderId="0" xfId="0" applyNumberFormat="1" applyFont="1" applyFill="1" applyBorder="1"/>
    <xf numFmtId="0" fontId="0" fillId="0" borderId="0" xfId="0" applyNumberFormat="1" applyFill="1" applyBorder="1"/>
    <xf numFmtId="0" fontId="14" fillId="5" borderId="0" xfId="0" applyFont="1" applyFill="1" applyBorder="1"/>
    <xf numFmtId="164" fontId="11" fillId="0" borderId="15" xfId="0" applyNumberFormat="1" applyFont="1" applyBorder="1"/>
    <xf numFmtId="10" fontId="11" fillId="0" borderId="14" xfId="0" applyNumberFormat="1" applyFont="1" applyBorder="1"/>
    <xf numFmtId="0" fontId="0" fillId="0" borderId="14" xfId="0" applyBorder="1"/>
    <xf numFmtId="14" fontId="0" fillId="0" borderId="14" xfId="0" applyNumberFormat="1" applyBorder="1" applyAlignment="1">
      <alignment horizontal="left"/>
    </xf>
    <xf numFmtId="14" fontId="0" fillId="0" borderId="13" xfId="0" applyNumberFormat="1" applyBorder="1"/>
    <xf numFmtId="164" fontId="0" fillId="0" borderId="13" xfId="0" applyNumberFormat="1" applyBorder="1"/>
    <xf numFmtId="165" fontId="9" fillId="0" borderId="13" xfId="0" applyNumberFormat="1" applyFont="1" applyBorder="1"/>
    <xf numFmtId="10" fontId="9" fillId="0" borderId="12" xfId="0" applyNumberFormat="1" applyFont="1" applyBorder="1"/>
    <xf numFmtId="0" fontId="14" fillId="0" borderId="11" xfId="0" applyFont="1" applyBorder="1"/>
    <xf numFmtId="0" fontId="0" fillId="0" borderId="13" xfId="0" applyBorder="1"/>
    <xf numFmtId="0" fontId="0" fillId="0" borderId="13" xfId="0" applyNumberFormat="1" applyBorder="1"/>
    <xf numFmtId="164" fontId="0" fillId="7" borderId="12" xfId="0" applyNumberFormat="1" applyFill="1" applyBorder="1"/>
    <xf numFmtId="164" fontId="0" fillId="8" borderId="12" xfId="0" applyNumberFormat="1" applyFill="1" applyBorder="1"/>
    <xf numFmtId="0" fontId="14" fillId="0" borderId="6" xfId="0" applyFont="1" applyBorder="1" applyAlignment="1">
      <alignment horizontal="left" vertical="center"/>
    </xf>
    <xf numFmtId="0" fontId="0" fillId="0" borderId="6" xfId="0" applyNumberFormat="1" applyBorder="1"/>
    <xf numFmtId="167" fontId="0" fillId="0" borderId="6" xfId="0" applyNumberFormat="1" applyBorder="1"/>
    <xf numFmtId="165" fontId="9" fillId="0" borderId="6" xfId="0" applyNumberFormat="1" applyFont="1" applyBorder="1"/>
    <xf numFmtId="0" fontId="0" fillId="0" borderId="11" xfId="0" applyBorder="1"/>
    <xf numFmtId="0" fontId="0" fillId="0" borderId="1" xfId="0" applyBorder="1" applyAlignment="1">
      <alignment horizontal="right"/>
    </xf>
    <xf numFmtId="169" fontId="0" fillId="8" borderId="1" xfId="0" applyNumberFormat="1" applyFill="1" applyBorder="1"/>
    <xf numFmtId="0" fontId="0" fillId="9" borderId="1" xfId="0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9" fontId="0" fillId="8" borderId="1" xfId="0" applyNumberFormat="1" applyFill="1" applyBorder="1" applyAlignment="1">
      <alignment horizontal="right"/>
    </xf>
    <xf numFmtId="10" fontId="9" fillId="0" borderId="6" xfId="0" applyNumberFormat="1" applyFont="1" applyBorder="1"/>
    <xf numFmtId="0" fontId="0" fillId="2" borderId="0" xfId="0" applyFill="1" applyBorder="1"/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0" borderId="6" xfId="0" applyFill="1" applyBorder="1"/>
    <xf numFmtId="0" fontId="0" fillId="0" borderId="9" xfId="0" applyBorder="1"/>
    <xf numFmtId="0" fontId="0" fillId="0" borderId="7" xfId="0" applyBorder="1"/>
    <xf numFmtId="0" fontId="4" fillId="0" borderId="0" xfId="0" applyFont="1"/>
    <xf numFmtId="0" fontId="0" fillId="11" borderId="0" xfId="0" applyFill="1"/>
    <xf numFmtId="0" fontId="8" fillId="11" borderId="0" xfId="1" applyFont="1" applyFill="1" applyBorder="1" applyAlignment="1" applyProtection="1">
      <alignment vertical="center"/>
    </xf>
    <xf numFmtId="0" fontId="14" fillId="11" borderId="0" xfId="0" applyFont="1" applyFill="1" applyBorder="1" applyAlignment="1">
      <alignment horizontal="left" vertical="center"/>
    </xf>
    <xf numFmtId="0" fontId="0" fillId="11" borderId="0" xfId="0" applyFont="1" applyFill="1"/>
    <xf numFmtId="0" fontId="0" fillId="11" borderId="8" xfId="0" applyFill="1" applyBorder="1"/>
    <xf numFmtId="0" fontId="3" fillId="11" borderId="0" xfId="0" applyFont="1" applyFill="1"/>
    <xf numFmtId="0" fontId="0" fillId="11" borderId="0" xfId="0" applyFill="1" applyBorder="1"/>
    <xf numFmtId="0" fontId="14" fillId="11" borderId="0" xfId="0" applyFont="1" applyFill="1" applyBorder="1"/>
    <xf numFmtId="0" fontId="0" fillId="11" borderId="0" xfId="0" applyFont="1" applyFill="1" applyBorder="1"/>
    <xf numFmtId="164" fontId="0" fillId="10" borderId="0" xfId="0" applyNumberFormat="1" applyFill="1"/>
    <xf numFmtId="164" fontId="0" fillId="10" borderId="0" xfId="0" applyNumberFormat="1" applyFill="1" applyBorder="1"/>
    <xf numFmtId="164" fontId="0" fillId="10" borderId="0" xfId="0" applyNumberFormat="1" applyFont="1" applyFill="1" applyBorder="1" applyAlignment="1">
      <alignment horizontal="right"/>
    </xf>
    <xf numFmtId="10" fontId="0" fillId="10" borderId="0" xfId="0" applyNumberFormat="1" applyFill="1"/>
    <xf numFmtId="10" fontId="2" fillId="10" borderId="16" xfId="0" applyNumberFormat="1" applyFont="1" applyFill="1" applyBorder="1"/>
    <xf numFmtId="0" fontId="14" fillId="10" borderId="0" xfId="0" applyFont="1" applyFill="1" applyBorder="1"/>
    <xf numFmtId="164" fontId="0" fillId="10" borderId="0" xfId="0" applyNumberFormat="1" applyFill="1" applyAlignment="1">
      <alignment horizontal="right"/>
    </xf>
    <xf numFmtId="164" fontId="0" fillId="10" borderId="0" xfId="0" applyNumberFormat="1" applyFont="1" applyFill="1" applyBorder="1"/>
    <xf numFmtId="10" fontId="0" fillId="0" borderId="0" xfId="0" applyNumberFormat="1"/>
    <xf numFmtId="0" fontId="0" fillId="0" borderId="0" xfId="0" applyNumberFormat="1" applyFont="1" applyFill="1"/>
    <xf numFmtId="0" fontId="3" fillId="0" borderId="0" xfId="0" applyNumberFormat="1" applyFont="1" applyFill="1"/>
    <xf numFmtId="10" fontId="15" fillId="0" borderId="0" xfId="0" applyNumberFormat="1" applyFont="1"/>
    <xf numFmtId="10" fontId="15" fillId="0" borderId="17" xfId="0" applyNumberFormat="1" applyFont="1" applyBorder="1" applyAlignment="1">
      <alignment vertical="top" wrapText="1"/>
    </xf>
    <xf numFmtId="170" fontId="0" fillId="0" borderId="0" xfId="2" applyNumberFormat="1" applyFont="1"/>
  </cellXfs>
  <cellStyles count="3">
    <cellStyle name="Link" xfId="1" builtinId="8"/>
    <cellStyle name="Prozent" xfId="2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  <c:perspective val="2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1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de-DE"/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(Übersicht!$A$3,Übersicht!$A$13,Übersicht!$A$19,Übersicht!$A$25,Übersicht!$A$36)</c:f>
              <c:strCache>
                <c:ptCount val="5"/>
                <c:pt idx="0">
                  <c:v>Aktien</c:v>
                </c:pt>
                <c:pt idx="1">
                  <c:v>Anleihen</c:v>
                </c:pt>
                <c:pt idx="2">
                  <c:v>Optionen</c:v>
                </c:pt>
                <c:pt idx="3">
                  <c:v>Rohstoffe</c:v>
                </c:pt>
                <c:pt idx="4">
                  <c:v>Tagesgeld</c:v>
                </c:pt>
              </c:strCache>
            </c:strRef>
          </c:cat>
          <c:val>
            <c:numRef>
              <c:f>(Übersicht!$H$10,Übersicht!$H$17,Übersicht!$H$23,Übersicht!$G$29,Übersicht!$B$37)</c:f>
              <c:numCache>
                <c:formatCode>#,##0.00\ "€"</c:formatCode>
                <c:ptCount val="5"/>
                <c:pt idx="0">
                  <c:v>372290.5</c:v>
                </c:pt>
                <c:pt idx="1">
                  <c:v>83181.150684931519</c:v>
                </c:pt>
                <c:pt idx="2">
                  <c:v>48900.5</c:v>
                </c:pt>
                <c:pt idx="3">
                  <c:v>104663.00000000001</c:v>
                </c:pt>
                <c:pt idx="4">
                  <c:v>396867.18727360509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824C-A88D-91690EBD70E1}"/>
            </c:ext>
          </c:extLst>
        </c:ser>
        <c:ser>
          <c:idx val="0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de-DE"/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([1]Übersicht!$A$3,[1]Übersicht!$A$13,[1]Übersicht!$A$19,[1]Übersicht!$A$25,[1]Übersicht!$A$37)</c:f>
              <c:strCache>
                <c:ptCount val="5"/>
                <c:pt idx="0">
                  <c:v>Aktien</c:v>
                </c:pt>
                <c:pt idx="1">
                  <c:v>Anleihen</c:v>
                </c:pt>
                <c:pt idx="2">
                  <c:v>Optionen</c:v>
                </c:pt>
                <c:pt idx="3">
                  <c:v>Rohstoffe</c:v>
                </c:pt>
                <c:pt idx="4">
                  <c:v>Tagesgeld</c:v>
                </c:pt>
              </c:strCache>
            </c:strRef>
          </c:cat>
          <c:val>
            <c:numRef>
              <c:f>([1]Übersicht!$G$10,[1]Übersicht!$G$17,[1]Übersicht!$G$23,[1]Übersicht!$F$30,[1]Übersicht!$B$38)</c:f>
              <c:numCache>
                <c:formatCode>General</c:formatCode>
                <c:ptCount val="5"/>
                <c:pt idx="0">
                  <c:v>340007.7</c:v>
                </c:pt>
                <c:pt idx="1">
                  <c:v>83072</c:v>
                </c:pt>
                <c:pt idx="2">
                  <c:v>0</c:v>
                </c:pt>
                <c:pt idx="3">
                  <c:v>203118</c:v>
                </c:pt>
                <c:pt idx="4">
                  <c:v>379491.49000000005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824C-A88D-91690EBD70E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overlay val="0"/>
      <c:txPr>
        <a:bodyPr/>
        <a:lstStyle/>
        <a:p>
          <a:pPr rtl="0">
            <a:defRPr lang="de-DE"/>
          </a:pPr>
          <a:endParaRPr lang="de-DE"/>
        </a:p>
      </c:txPr>
    </c:legend>
    <c:plotVisOnly val="1"/>
    <c:dispBlanksAs val="zero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effectLst>
      <a:outerShdw blurRad="990600" dir="12720000" sx="99000" sy="99000" algn="ctr" rotWithShape="0">
        <a:srgbClr val="000000">
          <a:alpha val="89000"/>
        </a:srgb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29</xdr:row>
      <xdr:rowOff>175260</xdr:rowOff>
    </xdr:from>
    <xdr:to>
      <xdr:col>8</xdr:col>
      <xdr:colOff>7620</xdr:colOff>
      <xdr:row>43</xdr:row>
      <xdr:rowOff>152400</xdr:rowOff>
    </xdr:to>
    <xdr:graphicFrame macro="">
      <xdr:nvGraphicFramePr>
        <xdr:cNvPr id="2" name="Диаграмма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419100</xdr:colOff>
      <xdr:row>12</xdr:row>
      <xdr:rowOff>152400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658100" y="2293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bell-Ingo/Dropbox/KUV-Planspiel/Portfolio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"/>
      <sheetName val="Detaildarstellung Tagesgeld"/>
      <sheetName val="Detaildarstellung Transaktionen"/>
      <sheetName val="Detaildarstellung Einzelpapiere"/>
      <sheetName val="Kurs- und Währungseffekte"/>
      <sheetName val="Portfolio Anteile"/>
    </sheetNames>
    <sheetDataSet>
      <sheetData sheetId="0">
        <row r="3">
          <cell r="A3" t="str">
            <v>Aktien</v>
          </cell>
        </row>
        <row r="10">
          <cell r="G10">
            <v>340007.7</v>
          </cell>
        </row>
        <row r="13">
          <cell r="A13" t="str">
            <v>Anleihen</v>
          </cell>
        </row>
        <row r="17">
          <cell r="G17">
            <v>83072</v>
          </cell>
        </row>
        <row r="19">
          <cell r="A19" t="str">
            <v>Optionen</v>
          </cell>
        </row>
        <row r="23">
          <cell r="G23">
            <v>0</v>
          </cell>
        </row>
        <row r="25">
          <cell r="A25" t="str">
            <v>Rohstoffe</v>
          </cell>
        </row>
        <row r="30">
          <cell r="F30">
            <v>203118</v>
          </cell>
        </row>
        <row r="37">
          <cell r="A37" t="str">
            <v>Tagesgeld</v>
          </cell>
        </row>
        <row r="38">
          <cell r="B38">
            <v>379491.49000000005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B23" sqref="B23"/>
    </sheetView>
  </sheetViews>
  <sheetFormatPr defaultColWidth="8.85546875" defaultRowHeight="15" x14ac:dyDescent="0.2"/>
  <cols>
    <col min="1" max="1" width="39.42578125" customWidth="1"/>
    <col min="2" max="2" width="13.42578125" customWidth="1"/>
    <col min="3" max="3" width="12.42578125" customWidth="1"/>
    <col min="4" max="4" width="13.28515625" customWidth="1"/>
    <col min="5" max="5" width="19.85546875" customWidth="1"/>
    <col min="6" max="6" width="14.140625" customWidth="1"/>
    <col min="7" max="7" width="13.28515625" customWidth="1"/>
    <col min="8" max="8" width="14.42578125" customWidth="1"/>
    <col min="9" max="9" width="15.42578125" customWidth="1"/>
    <col min="10" max="10" width="18.140625" customWidth="1"/>
    <col min="11" max="13" width="15.5703125" customWidth="1"/>
    <col min="14" max="14" width="16" customWidth="1"/>
    <col min="15" max="15" width="13.28515625" customWidth="1"/>
    <col min="16" max="16" width="14.42578125" customWidth="1"/>
    <col min="17" max="17" width="14.85546875" customWidth="1"/>
  </cols>
  <sheetData>
    <row r="1" spans="1:20" ht="23.25" x14ac:dyDescent="0.3">
      <c r="A1" s="3" t="s">
        <v>0</v>
      </c>
      <c r="B1" s="3"/>
      <c r="J1" s="1" t="s">
        <v>58</v>
      </c>
      <c r="K1" s="1"/>
      <c r="L1" s="1"/>
      <c r="M1" s="1"/>
      <c r="N1" s="1"/>
    </row>
    <row r="3" spans="1:20" ht="18.75" x14ac:dyDescent="0.25">
      <c r="A3" s="2" t="s">
        <v>1</v>
      </c>
      <c r="K3" s="14"/>
      <c r="L3" s="14"/>
      <c r="M3" s="14"/>
    </row>
    <row r="4" spans="1:20" x14ac:dyDescent="0.2">
      <c r="A4" s="6"/>
      <c r="B4" s="7" t="s">
        <v>10</v>
      </c>
      <c r="C4" s="63">
        <f>SUM(G6:G9)</f>
        <v>393132</v>
      </c>
      <c r="D4" s="63"/>
      <c r="E4" s="8"/>
      <c r="F4" s="8"/>
      <c r="G4" s="8"/>
      <c r="H4" s="8"/>
      <c r="I4" s="8"/>
      <c r="J4" s="8"/>
      <c r="K4" s="8"/>
      <c r="L4" s="198"/>
      <c r="M4" s="113"/>
      <c r="N4" s="205" t="s">
        <v>165</v>
      </c>
      <c r="O4" s="205"/>
      <c r="P4" s="205"/>
    </row>
    <row r="5" spans="1:20" x14ac:dyDescent="0.2">
      <c r="A5" s="9" t="s">
        <v>2</v>
      </c>
      <c r="B5" s="10" t="s">
        <v>3</v>
      </c>
      <c r="C5" s="10" t="s">
        <v>4</v>
      </c>
      <c r="D5" s="10" t="s">
        <v>104</v>
      </c>
      <c r="E5" s="10" t="s">
        <v>5</v>
      </c>
      <c r="F5" s="10" t="s">
        <v>6</v>
      </c>
      <c r="G5" s="10" t="s">
        <v>10</v>
      </c>
      <c r="H5" s="10" t="s">
        <v>7</v>
      </c>
      <c r="I5" s="10" t="s">
        <v>8</v>
      </c>
      <c r="J5" s="10" t="s">
        <v>9</v>
      </c>
      <c r="K5" s="127" t="s">
        <v>161</v>
      </c>
      <c r="L5" s="127" t="s">
        <v>162</v>
      </c>
      <c r="M5" s="121" t="s">
        <v>163</v>
      </c>
      <c r="N5" s="106" t="s">
        <v>166</v>
      </c>
      <c r="O5" s="65"/>
      <c r="P5" s="65"/>
      <c r="Q5" s="65"/>
      <c r="R5" s="65"/>
      <c r="S5" s="65"/>
      <c r="T5" s="65"/>
    </row>
    <row r="6" spans="1:20" x14ac:dyDescent="0.2">
      <c r="A6" s="4" t="s">
        <v>11</v>
      </c>
      <c r="B6" s="5">
        <v>5493309</v>
      </c>
      <c r="C6" s="15">
        <v>41366</v>
      </c>
      <c r="D6" s="144">
        <v>30000</v>
      </c>
      <c r="E6" s="16">
        <v>3.3</v>
      </c>
      <c r="F6" s="216">
        <v>2.92</v>
      </c>
      <c r="G6" s="16">
        <v>99000</v>
      </c>
      <c r="H6" s="16">
        <f>F6*'Detaildarstellung Transaktionen'!D5</f>
        <v>87600</v>
      </c>
      <c r="I6" s="155">
        <f t="shared" ref="I6:I7" si="0">H6-G6</f>
        <v>-11400</v>
      </c>
      <c r="J6" s="156">
        <f>I6/G6</f>
        <v>-0.11515151515151516</v>
      </c>
      <c r="K6" s="201">
        <v>5.3</v>
      </c>
      <c r="L6" s="200">
        <v>0.71</v>
      </c>
      <c r="M6" s="199" t="s">
        <v>164</v>
      </c>
      <c r="N6" t="s">
        <v>167</v>
      </c>
    </row>
    <row r="7" spans="1:20" x14ac:dyDescent="0.2">
      <c r="A7" s="150" t="s">
        <v>105</v>
      </c>
      <c r="B7" s="60">
        <v>578560</v>
      </c>
      <c r="C7" s="50">
        <v>41406</v>
      </c>
      <c r="D7" s="145">
        <f>'Detaildarstellung Transaktionen'!D12</f>
        <v>1100</v>
      </c>
      <c r="E7" s="17">
        <v>97.85</v>
      </c>
      <c r="F7" s="216">
        <v>91.72</v>
      </c>
      <c r="G7" s="99">
        <f>D7*E7</f>
        <v>107635</v>
      </c>
      <c r="H7" s="99">
        <f>D7*F7</f>
        <v>100892</v>
      </c>
      <c r="I7" s="155">
        <f t="shared" si="0"/>
        <v>-6743</v>
      </c>
      <c r="J7" s="154">
        <f t="shared" ref="J7" si="1">I7/G7</f>
        <v>-6.2646908533469603E-2</v>
      </c>
      <c r="K7" s="83">
        <v>16.05</v>
      </c>
      <c r="L7">
        <v>0.8</v>
      </c>
      <c r="M7" s="203">
        <v>7.35</v>
      </c>
      <c r="N7" t="s">
        <v>168</v>
      </c>
    </row>
    <row r="8" spans="1:20" x14ac:dyDescent="0.2">
      <c r="A8" s="150" t="s">
        <v>124</v>
      </c>
      <c r="B8" s="60">
        <v>566480</v>
      </c>
      <c r="C8" s="50">
        <v>41415</v>
      </c>
      <c r="D8" s="145">
        <v>50000</v>
      </c>
      <c r="E8" s="17">
        <v>2.8</v>
      </c>
      <c r="F8" s="216">
        <v>2.76</v>
      </c>
      <c r="G8" s="99">
        <f>E8*D8</f>
        <v>140000</v>
      </c>
      <c r="H8" s="99">
        <f>F8*D8</f>
        <v>138000</v>
      </c>
      <c r="I8" s="155">
        <f t="shared" ref="I8:I9" si="2">H8-G8</f>
        <v>-2000</v>
      </c>
      <c r="J8" s="154">
        <f t="shared" ref="J8:J9" si="3">I8/G8</f>
        <v>-1.4285714285714285E-2</v>
      </c>
      <c r="K8" s="83">
        <v>131.1</v>
      </c>
      <c r="L8">
        <v>3.4</v>
      </c>
      <c r="M8" s="199">
        <v>16.34</v>
      </c>
      <c r="N8" t="s">
        <v>169</v>
      </c>
    </row>
    <row r="9" spans="1:20" x14ac:dyDescent="0.2">
      <c r="A9" s="187" t="s">
        <v>131</v>
      </c>
      <c r="B9" s="96" t="s">
        <v>128</v>
      </c>
      <c r="C9" s="62">
        <v>41420</v>
      </c>
      <c r="D9" s="188">
        <v>550</v>
      </c>
      <c r="E9" s="18">
        <v>84.54</v>
      </c>
      <c r="F9" s="216">
        <v>83.27</v>
      </c>
      <c r="G9" s="189">
        <f>D9*E9</f>
        <v>46497</v>
      </c>
      <c r="H9" s="189">
        <f>D9*F9</f>
        <v>45798.5</v>
      </c>
      <c r="I9" s="190">
        <f t="shared" si="2"/>
        <v>-698.5</v>
      </c>
      <c r="J9" s="197">
        <f t="shared" si="3"/>
        <v>-1.5022474568251716E-2</v>
      </c>
      <c r="K9" s="202">
        <v>13.42</v>
      </c>
      <c r="L9" s="14">
        <v>1.66</v>
      </c>
      <c r="M9" s="204">
        <v>10.57</v>
      </c>
      <c r="N9" t="s">
        <v>170</v>
      </c>
    </row>
    <row r="10" spans="1:20" x14ac:dyDescent="0.2">
      <c r="G10" s="147" t="s">
        <v>59</v>
      </c>
      <c r="H10" s="26">
        <f>SUM(H6:H9)</f>
        <v>372290.5</v>
      </c>
      <c r="I10" s="66">
        <f>SUM(I6:I9)</f>
        <v>-20841.5</v>
      </c>
      <c r="J10" s="154">
        <f>I10/C4</f>
        <v>-5.3014000386638588E-2</v>
      </c>
      <c r="K10" s="83"/>
      <c r="L10" s="83"/>
      <c r="M10" s="83"/>
    </row>
    <row r="11" spans="1:20" x14ac:dyDescent="0.2">
      <c r="I11" s="12"/>
      <c r="J11" s="83"/>
      <c r="K11" s="83"/>
      <c r="L11" s="83"/>
      <c r="M11" s="83"/>
      <c r="N11" t="s">
        <v>171</v>
      </c>
    </row>
    <row r="12" spans="1:20" x14ac:dyDescent="0.2">
      <c r="J12" s="83"/>
      <c r="N12" t="s">
        <v>172</v>
      </c>
    </row>
    <row r="13" spans="1:20" ht="18.75" x14ac:dyDescent="0.25">
      <c r="A13" s="128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</row>
    <row r="14" spans="1:20" x14ac:dyDescent="0.2">
      <c r="A14" s="122"/>
      <c r="B14" s="123" t="s">
        <v>10</v>
      </c>
      <c r="C14" s="124">
        <f>SUM(G16:G16)</f>
        <v>83170.410958904118</v>
      </c>
      <c r="D14" s="124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5"/>
    </row>
    <row r="15" spans="1:20" x14ac:dyDescent="0.2">
      <c r="A15" s="9" t="s">
        <v>2</v>
      </c>
      <c r="B15" s="10" t="s">
        <v>3</v>
      </c>
      <c r="C15" s="10" t="s">
        <v>4</v>
      </c>
      <c r="D15" s="10" t="s">
        <v>104</v>
      </c>
      <c r="E15" s="10" t="s">
        <v>5</v>
      </c>
      <c r="F15" s="10" t="s">
        <v>6</v>
      </c>
      <c r="G15" s="10" t="s">
        <v>10</v>
      </c>
      <c r="H15" s="10" t="s">
        <v>7</v>
      </c>
      <c r="I15" s="10" t="s">
        <v>8</v>
      </c>
      <c r="J15" s="10" t="s">
        <v>9</v>
      </c>
      <c r="K15" s="127" t="s">
        <v>127</v>
      </c>
      <c r="L15" s="127"/>
      <c r="M15" s="127"/>
      <c r="N15" s="127" t="s">
        <v>126</v>
      </c>
      <c r="O15" s="127" t="s">
        <v>112</v>
      </c>
      <c r="P15" s="127" t="s">
        <v>97</v>
      </c>
      <c r="Q15" s="121" t="s">
        <v>96</v>
      </c>
    </row>
    <row r="16" spans="1:20" x14ac:dyDescent="0.2">
      <c r="A16" s="130" t="s">
        <v>49</v>
      </c>
      <c r="B16" s="131">
        <v>113524</v>
      </c>
      <c r="C16" s="132">
        <v>41366</v>
      </c>
      <c r="D16" s="146">
        <f>'Detaildarstellung Transaktionen'!D25</f>
        <v>8000000</v>
      </c>
      <c r="E16" s="133">
        <v>1.0295000000000001</v>
      </c>
      <c r="F16" s="133">
        <v>1.0216000000000001</v>
      </c>
      <c r="G16" s="93">
        <f>(E16+K16)*Q16</f>
        <v>83170.410958904118</v>
      </c>
      <c r="H16" s="93">
        <f>(F16+N16)*Q16</f>
        <v>83181.150684931519</v>
      </c>
      <c r="I16" s="167">
        <f t="shared" ref="I16" si="4">H16-G16</f>
        <v>10.739726027401048</v>
      </c>
      <c r="J16" s="168">
        <f t="shared" ref="J16" si="5">I16/G16</f>
        <v>1.2912916869808091E-4</v>
      </c>
      <c r="K16" s="134">
        <f>O16*87/365</f>
        <v>1.013013698630137E-2</v>
      </c>
      <c r="L16" s="134"/>
      <c r="M16" s="134"/>
      <c r="N16" s="134">
        <f>O16*156/365</f>
        <v>1.8164383561643838E-2</v>
      </c>
      <c r="O16" s="134">
        <v>4.2500000000000003E-2</v>
      </c>
      <c r="P16" s="135">
        <v>0.01</v>
      </c>
      <c r="Q16" s="126">
        <v>80000</v>
      </c>
    </row>
    <row r="17" spans="1:13" x14ac:dyDescent="0.2">
      <c r="A17" s="12"/>
      <c r="B17" s="12"/>
      <c r="C17" s="12"/>
      <c r="D17" s="12"/>
      <c r="E17" s="19"/>
      <c r="F17" s="19"/>
      <c r="G17" s="148" t="s">
        <v>59</v>
      </c>
      <c r="H17" s="118">
        <f>SUM(H16:H16)</f>
        <v>83181.150684931519</v>
      </c>
      <c r="I17" s="169">
        <f>SUM(I16:I16)</f>
        <v>10.739726027401048</v>
      </c>
      <c r="J17" s="170">
        <f>I17/C14</f>
        <v>1.2912916869808091E-4</v>
      </c>
      <c r="K17" s="12"/>
      <c r="L17" s="12"/>
      <c r="M17" s="12"/>
    </row>
    <row r="18" spans="1:13" x14ac:dyDescent="0.2">
      <c r="F18" s="112"/>
      <c r="I18" s="12"/>
    </row>
    <row r="19" spans="1:13" ht="18.75" x14ac:dyDescent="0.25">
      <c r="A19" s="2" t="s">
        <v>13</v>
      </c>
      <c r="F19" s="112"/>
      <c r="I19" s="14"/>
      <c r="J19" s="114"/>
    </row>
    <row r="20" spans="1:13" x14ac:dyDescent="0.2">
      <c r="A20" s="6"/>
      <c r="B20" s="7" t="s">
        <v>10</v>
      </c>
      <c r="C20" s="63">
        <f>SUM(G22)</f>
        <v>51150</v>
      </c>
      <c r="D20" s="63"/>
      <c r="E20" s="8"/>
      <c r="F20" s="8"/>
      <c r="G20" s="8"/>
      <c r="H20" s="8"/>
      <c r="I20" s="8"/>
      <c r="J20" s="113"/>
      <c r="K20" s="151"/>
      <c r="L20" s="151"/>
      <c r="M20" s="151"/>
    </row>
    <row r="21" spans="1:13" x14ac:dyDescent="0.2">
      <c r="A21" s="9" t="s">
        <v>2</v>
      </c>
      <c r="B21" s="10" t="s">
        <v>3</v>
      </c>
      <c r="C21" s="10" t="s">
        <v>4</v>
      </c>
      <c r="D21" s="10" t="s">
        <v>104</v>
      </c>
      <c r="E21" s="10" t="s">
        <v>5</v>
      </c>
      <c r="F21" s="10" t="s">
        <v>6</v>
      </c>
      <c r="G21" s="10" t="s">
        <v>10</v>
      </c>
      <c r="H21" s="10" t="s">
        <v>7</v>
      </c>
      <c r="I21" s="10" t="s">
        <v>8</v>
      </c>
      <c r="J21" s="115" t="s">
        <v>9</v>
      </c>
      <c r="K21" s="152"/>
      <c r="L21" s="119"/>
      <c r="M21" s="119"/>
    </row>
    <row r="22" spans="1:13" x14ac:dyDescent="0.2">
      <c r="A22" s="182" t="s">
        <v>107</v>
      </c>
      <c r="B22" s="183" t="s">
        <v>108</v>
      </c>
      <c r="C22" s="178">
        <v>41406</v>
      </c>
      <c r="D22" s="184">
        <f>'Detaildarstellung Transaktionen'!D32</f>
        <v>550</v>
      </c>
      <c r="E22" s="179">
        <v>93</v>
      </c>
      <c r="F22" s="216">
        <v>88.91</v>
      </c>
      <c r="G22" s="179">
        <f>D22*E22</f>
        <v>51150</v>
      </c>
      <c r="H22" s="179">
        <f>D22*F22</f>
        <v>48900.5</v>
      </c>
      <c r="I22" s="180">
        <f>H22-G22</f>
        <v>-2249.5</v>
      </c>
      <c r="J22" s="181">
        <f>I22/G22</f>
        <v>-4.3978494623655912E-2</v>
      </c>
      <c r="K22" s="119"/>
      <c r="L22" s="119"/>
      <c r="M22" s="119"/>
    </row>
    <row r="23" spans="1:13" x14ac:dyDescent="0.2">
      <c r="F23" s="157"/>
      <c r="G23" s="147" t="s">
        <v>59</v>
      </c>
      <c r="H23" s="26">
        <f>SUM(H22,)</f>
        <v>48900.5</v>
      </c>
      <c r="I23" s="66">
        <f>SUM(I22,23)</f>
        <v>-2226.5</v>
      </c>
      <c r="J23" s="67">
        <f>I23/C20</f>
        <v>-4.3528836754643203E-2</v>
      </c>
      <c r="K23" s="114"/>
      <c r="L23" s="114"/>
      <c r="M23" s="114"/>
    </row>
    <row r="25" spans="1:13" ht="18.75" x14ac:dyDescent="0.25">
      <c r="A25" s="2" t="s">
        <v>14</v>
      </c>
    </row>
    <row r="26" spans="1:13" x14ac:dyDescent="0.2">
      <c r="A26" s="6"/>
      <c r="B26" s="7" t="s">
        <v>10</v>
      </c>
      <c r="C26" s="63">
        <f>SUM(F28:F28)</f>
        <v>122922</v>
      </c>
      <c r="D26" s="63"/>
      <c r="E26" s="8"/>
      <c r="F26" s="8"/>
      <c r="G26" s="8"/>
      <c r="H26" s="8"/>
      <c r="I26" s="8"/>
      <c r="J26" s="82"/>
    </row>
    <row r="27" spans="1:13" x14ac:dyDescent="0.2">
      <c r="A27" s="9" t="s">
        <v>2</v>
      </c>
      <c r="B27" s="10" t="s">
        <v>4</v>
      </c>
      <c r="C27" s="10" t="s">
        <v>5</v>
      </c>
      <c r="D27" s="10" t="s">
        <v>30</v>
      </c>
      <c r="E27" s="10" t="s">
        <v>6</v>
      </c>
      <c r="F27" s="10" t="s">
        <v>10</v>
      </c>
      <c r="G27" s="10" t="s">
        <v>7</v>
      </c>
      <c r="H27" s="10" t="s">
        <v>8</v>
      </c>
      <c r="I27" s="10" t="s">
        <v>9</v>
      </c>
      <c r="J27" s="84"/>
    </row>
    <row r="28" spans="1:13" x14ac:dyDescent="0.2">
      <c r="A28" s="191" t="s">
        <v>53</v>
      </c>
      <c r="B28" s="178">
        <v>41366</v>
      </c>
      <c r="C28" s="179">
        <v>1229.22</v>
      </c>
      <c r="D28" s="179" t="s">
        <v>54</v>
      </c>
      <c r="E28" s="216">
        <v>1046.6300000000001</v>
      </c>
      <c r="F28" s="179">
        <v>122922</v>
      </c>
      <c r="G28" s="179">
        <f>E28*100</f>
        <v>104663.00000000001</v>
      </c>
      <c r="H28" s="180">
        <f>G28-F28</f>
        <v>-18258.999999999985</v>
      </c>
      <c r="I28" s="181">
        <f>H28/F28</f>
        <v>-0.1485413514261075</v>
      </c>
      <c r="J28" s="83"/>
    </row>
    <row r="29" spans="1:13" x14ac:dyDescent="0.2">
      <c r="F29" s="147" t="s">
        <v>59</v>
      </c>
      <c r="G29" s="26">
        <f>SUM(G28:G28)</f>
        <v>104663.00000000001</v>
      </c>
      <c r="H29" s="66">
        <f>SUM(H28:H28)</f>
        <v>-18258.999999999985</v>
      </c>
      <c r="I29" s="67">
        <f>H29/C26</f>
        <v>-0.1485413514261075</v>
      </c>
    </row>
    <row r="31" spans="1:13" x14ac:dyDescent="0.2">
      <c r="A31" s="23" t="s">
        <v>15</v>
      </c>
      <c r="B31" s="100">
        <f>SUM(H10,H17,H23,G29)</f>
        <v>609035.15068493155</v>
      </c>
    </row>
    <row r="32" spans="1:13" x14ac:dyDescent="0.2">
      <c r="A32" s="4" t="s">
        <v>85</v>
      </c>
      <c r="B32" s="142">
        <f>SUM(I10,I17,I23,H29)</f>
        <v>-41316.260273972584</v>
      </c>
      <c r="F32" s="64"/>
    </row>
    <row r="33" spans="1:2" x14ac:dyDescent="0.2">
      <c r="A33" s="13" t="s">
        <v>86</v>
      </c>
      <c r="B33" s="143">
        <f>B32/B42</f>
        <v>-6.3526884787881488E-2</v>
      </c>
    </row>
    <row r="36" spans="1:2" x14ac:dyDescent="0.2">
      <c r="A36" s="23" t="s">
        <v>17</v>
      </c>
      <c r="B36" s="25">
        <v>0.01</v>
      </c>
    </row>
    <row r="37" spans="1:2" x14ac:dyDescent="0.2">
      <c r="A37" s="4" t="s">
        <v>18</v>
      </c>
      <c r="B37" s="105">
        <f>'Detaildarstellung Tagesgeld'!B18</f>
        <v>396867.18727360509</v>
      </c>
    </row>
    <row r="38" spans="1:2" x14ac:dyDescent="0.2">
      <c r="A38" s="13" t="s">
        <v>82</v>
      </c>
      <c r="B38" s="103">
        <f>SUM('Detaildarstellung Tagesgeld'!I5,'Detaildarstellung Tagesgeld'!I6,'Detaildarstellung Tagesgeld'!I7,'Detaildarstellung Tagesgeld'!I8,'Detaildarstellung Tagesgeld'!I9,'Detaildarstellung Tagesgeld'!I10,'Detaildarstellung Tagesgeld'!I11,'Detaildarstellung Tagesgeld'!I12,'Detaildarstellung Tagesgeld'!I13,'Detaildarstellung Tagesgeld'!I14+'Detaildarstellung Tagesgeld'!I15,'Detaildarstellung Tagesgeld'!I16,'Detaildarstellung Tagesgeld'!I17)</f>
        <v>241.56489917581047</v>
      </c>
    </row>
    <row r="41" spans="1:2" x14ac:dyDescent="0.2">
      <c r="A41" s="101" t="s">
        <v>80</v>
      </c>
      <c r="B41" s="102">
        <f>B31+B37</f>
        <v>1005902.3379585366</v>
      </c>
    </row>
    <row r="42" spans="1:2" x14ac:dyDescent="0.2">
      <c r="A42" s="11" t="s">
        <v>81</v>
      </c>
      <c r="B42" s="104">
        <f>SUM(C4,C14,C20,C26)</f>
        <v>650374.41095890407</v>
      </c>
    </row>
    <row r="43" spans="1:2" x14ac:dyDescent="0.2">
      <c r="A43" s="82" t="s">
        <v>83</v>
      </c>
      <c r="B43" s="174">
        <f>B41-1000000</f>
        <v>5902.3379585365765</v>
      </c>
    </row>
    <row r="44" spans="1:2" x14ac:dyDescent="0.2">
      <c r="A44" s="13" t="s">
        <v>16</v>
      </c>
      <c r="B44" s="175">
        <f>B43/1000000</f>
        <v>5.9023379585365762E-3</v>
      </c>
    </row>
  </sheetData>
  <pageMargins left="0.7" right="0.7" top="0.75" bottom="0.75" header="0.3" footer="0.3"/>
  <pageSetup paperSize="9" orientation="portrait" r:id="rId1"/>
  <ignoredErrors>
    <ignoredError sqref="G8:H8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A27" sqref="A27"/>
    </sheetView>
  </sheetViews>
  <sheetFormatPr defaultColWidth="11.42578125" defaultRowHeight="15" x14ac:dyDescent="0.2"/>
  <cols>
    <col min="1" max="1" width="13.7109375" customWidth="1"/>
    <col min="2" max="2" width="19.7109375" customWidth="1"/>
    <col min="3" max="3" width="13.28515625" customWidth="1"/>
    <col min="4" max="4" width="14.5703125" customWidth="1"/>
    <col min="5" max="5" width="14.42578125" customWidth="1"/>
    <col min="7" max="7" width="17.5703125" customWidth="1"/>
  </cols>
  <sheetData>
    <row r="1" spans="1:9" ht="23.25" x14ac:dyDescent="0.3">
      <c r="A1" s="1" t="s">
        <v>19</v>
      </c>
    </row>
    <row r="3" spans="1:9" x14ac:dyDescent="0.2">
      <c r="A3" s="31" t="s">
        <v>20</v>
      </c>
      <c r="B3" s="8" t="s">
        <v>21</v>
      </c>
      <c r="C3" s="29" t="s">
        <v>23</v>
      </c>
      <c r="D3" s="30"/>
      <c r="E3" s="30"/>
      <c r="F3" s="24"/>
      <c r="G3" s="31" t="s">
        <v>25</v>
      </c>
      <c r="H3" s="31" t="s">
        <v>26</v>
      </c>
      <c r="I3" s="31" t="s">
        <v>27</v>
      </c>
    </row>
    <row r="4" spans="1:9" x14ac:dyDescent="0.2">
      <c r="A4" s="32"/>
      <c r="B4" s="27" t="s">
        <v>22</v>
      </c>
      <c r="C4" s="28" t="s">
        <v>1</v>
      </c>
      <c r="D4" s="28" t="s">
        <v>12</v>
      </c>
      <c r="E4" s="28" t="s">
        <v>24</v>
      </c>
      <c r="F4" s="28" t="s">
        <v>14</v>
      </c>
      <c r="G4" s="32"/>
      <c r="H4" s="32"/>
      <c r="I4" s="32"/>
    </row>
    <row r="5" spans="1:9" x14ac:dyDescent="0.2">
      <c r="A5" s="33" t="s">
        <v>75</v>
      </c>
      <c r="B5" s="34">
        <v>1000000</v>
      </c>
      <c r="C5" s="35"/>
      <c r="D5" s="56"/>
      <c r="E5" s="34"/>
      <c r="F5" s="36"/>
      <c r="G5" s="34"/>
      <c r="H5" s="33">
        <v>1</v>
      </c>
      <c r="I5" s="34">
        <f>B5*Übersicht!B36/365*H5</f>
        <v>27.397260273972602</v>
      </c>
    </row>
    <row r="6" spans="1:9" x14ac:dyDescent="0.2">
      <c r="A6" s="38">
        <v>41366</v>
      </c>
      <c r="B6" s="34">
        <f>B5-C6-D6-E6-F6+I5</f>
        <v>312408.31963470316</v>
      </c>
      <c r="C6" s="26">
        <v>264000</v>
      </c>
      <c r="D6" s="95">
        <f>SUM('Detaildarstellung Transaktionen'!F24,'Detaildarstellung Transaktionen'!F25)</f>
        <v>217987.07762557082</v>
      </c>
      <c r="E6" s="34">
        <v>82710</v>
      </c>
      <c r="F6" s="16">
        <v>122922</v>
      </c>
      <c r="G6" s="34">
        <v>0</v>
      </c>
      <c r="H6" s="33">
        <v>12</v>
      </c>
      <c r="I6" s="34">
        <f>B6*Übersicht!B36/365*H6</f>
        <v>102.70958453743665</v>
      </c>
    </row>
    <row r="7" spans="1:9" x14ac:dyDescent="0.2">
      <c r="A7" s="38">
        <v>41378</v>
      </c>
      <c r="B7" s="34">
        <f>B6-C7-D7-E7-F7+I6</f>
        <v>56262.729219240609</v>
      </c>
      <c r="C7" s="59">
        <v>168280.8</v>
      </c>
      <c r="D7" s="58">
        <v>0</v>
      </c>
      <c r="E7" s="35">
        <v>0</v>
      </c>
      <c r="F7" s="94">
        <v>87967.5</v>
      </c>
      <c r="G7" s="34">
        <v>0</v>
      </c>
      <c r="H7" s="33">
        <v>7</v>
      </c>
      <c r="I7" s="34">
        <f>B7*Übersicht!B36/365*H7</f>
        <v>10.790112453005047</v>
      </c>
    </row>
    <row r="8" spans="1:9" x14ac:dyDescent="0.2">
      <c r="A8" s="38">
        <v>41385</v>
      </c>
      <c r="B8" s="34">
        <f>B7+I7</f>
        <v>56273.519331693613</v>
      </c>
      <c r="C8" s="34">
        <v>0</v>
      </c>
      <c r="D8" s="57">
        <v>0</v>
      </c>
      <c r="E8" s="34">
        <v>0</v>
      </c>
      <c r="F8" s="36">
        <v>0</v>
      </c>
      <c r="G8" s="34">
        <v>0</v>
      </c>
      <c r="H8" s="33">
        <v>7</v>
      </c>
      <c r="I8" s="34">
        <f>B8*Übersicht!B36/365*H8</f>
        <v>10.792181789639871</v>
      </c>
    </row>
    <row r="9" spans="1:9" x14ac:dyDescent="0.2">
      <c r="A9" s="38">
        <v>41392</v>
      </c>
      <c r="B9" s="34">
        <f>B8+I8+G9-C9-D9-E9-F9</f>
        <v>87199.311513483262</v>
      </c>
      <c r="C9" s="35">
        <v>67350</v>
      </c>
      <c r="D9" s="34">
        <v>0</v>
      </c>
      <c r="E9" s="34">
        <v>31000</v>
      </c>
      <c r="F9" s="36">
        <v>0</v>
      </c>
      <c r="G9" s="34">
        <f>86265+43000</f>
        <v>129265</v>
      </c>
      <c r="H9" s="33">
        <v>6</v>
      </c>
      <c r="I9" s="34">
        <f>B9*Übersicht!B36/365*H9</f>
        <v>14.334133399476702</v>
      </c>
    </row>
    <row r="10" spans="1:9" x14ac:dyDescent="0.2">
      <c r="A10" s="38">
        <v>41398</v>
      </c>
      <c r="B10" s="34">
        <f>B9+I9+G10-C10-D10-E10-F10</f>
        <v>8093.6456468827382</v>
      </c>
      <c r="C10" s="35">
        <v>79120</v>
      </c>
      <c r="D10" s="34">
        <v>0</v>
      </c>
      <c r="E10" s="34">
        <v>0</v>
      </c>
      <c r="F10" s="36">
        <v>0</v>
      </c>
      <c r="G10" s="34">
        <v>0</v>
      </c>
      <c r="H10" s="33">
        <v>8</v>
      </c>
      <c r="I10" s="34">
        <f>B10*Übersicht!B36/365*H10</f>
        <v>1.7739497308236141</v>
      </c>
    </row>
    <row r="11" spans="1:9" x14ac:dyDescent="0.2">
      <c r="A11" s="38">
        <v>41406</v>
      </c>
      <c r="B11" s="34">
        <f>B10+I10+G11-C11-D11-E11-F11</f>
        <v>57521.319596613583</v>
      </c>
      <c r="C11" s="35">
        <f>107635+115871.5</f>
        <v>223506.5</v>
      </c>
      <c r="D11" s="34">
        <v>0</v>
      </c>
      <c r="E11" s="34">
        <f>'Detaildarstellung Transaktionen'!F32+'Detaildarstellung Transaktionen'!F33</f>
        <v>102000</v>
      </c>
      <c r="F11" s="36">
        <v>0</v>
      </c>
      <c r="G11" s="138">
        <f>86636.4+25500+136536+126260</f>
        <v>374932.4</v>
      </c>
      <c r="H11" s="33">
        <v>9</v>
      </c>
      <c r="I11" s="34">
        <f>B11*Übersicht!B36/365*H11</f>
        <v>14.183339078617045</v>
      </c>
    </row>
    <row r="12" spans="1:9" x14ac:dyDescent="0.2">
      <c r="A12" s="38">
        <v>41415</v>
      </c>
      <c r="B12" s="34">
        <f>B11+I11+G12-C12-D12-E12-F12</f>
        <v>122405.0029356922</v>
      </c>
      <c r="C12" s="35">
        <f>'Detaildarstellung Transaktionen'!F14</f>
        <v>140000</v>
      </c>
      <c r="D12" s="34">
        <v>0</v>
      </c>
      <c r="E12" s="34">
        <v>0</v>
      </c>
      <c r="F12" s="36">
        <f>'Detaildarstellung Transaktionen'!F41</f>
        <v>50500</v>
      </c>
      <c r="G12" s="34">
        <f>SUM('Detaildarstellung Transaktionen'!F52,'Detaildarstellung Transaktionen'!F77,'Detaildarstellung Transaktionen'!F53)</f>
        <v>255369.5</v>
      </c>
      <c r="H12" s="33">
        <v>6</v>
      </c>
      <c r="I12" s="34">
        <f>B12*Übersicht!B36/365*H12</f>
        <v>20.121370345593242</v>
      </c>
    </row>
    <row r="13" spans="1:9" x14ac:dyDescent="0.2">
      <c r="A13" s="38">
        <v>41420</v>
      </c>
      <c r="B13" s="34">
        <f>B12+I12-C13-D13-E13-F13</f>
        <v>75928.124306037789</v>
      </c>
      <c r="C13" s="35">
        <f>'Detaildarstellung Transaktionen'!F15</f>
        <v>46497</v>
      </c>
      <c r="D13" s="34">
        <v>0</v>
      </c>
      <c r="E13" s="34">
        <v>0</v>
      </c>
      <c r="F13" s="36">
        <v>0</v>
      </c>
      <c r="G13" s="34">
        <v>0</v>
      </c>
      <c r="H13" s="33">
        <v>1</v>
      </c>
      <c r="I13" s="34">
        <f>B13*Übersicht!B36/365*H13</f>
        <v>2.0802225837270627</v>
      </c>
    </row>
    <row r="14" spans="1:9" x14ac:dyDescent="0.2">
      <c r="A14" s="38">
        <v>41421</v>
      </c>
      <c r="B14" s="34">
        <f>B13+I13-C14-D14-E14-F14</f>
        <v>960.20452862151433</v>
      </c>
      <c r="C14" s="35">
        <f>'Detaildarstellung Transaktionen'!F16</f>
        <v>74970</v>
      </c>
      <c r="D14" s="34">
        <v>0</v>
      </c>
      <c r="E14" s="34">
        <v>0</v>
      </c>
      <c r="F14" s="36">
        <v>0</v>
      </c>
      <c r="G14" s="34">
        <v>0</v>
      </c>
      <c r="H14" s="33">
        <v>6</v>
      </c>
      <c r="I14" s="34">
        <f>B14*Übersicht!B36/365*H14</f>
        <v>0.1578418403213448</v>
      </c>
    </row>
    <row r="15" spans="1:9" x14ac:dyDescent="0.2">
      <c r="A15" s="38">
        <v>41427</v>
      </c>
      <c r="B15" s="34">
        <f>B14+I14+G15-C15-D15-E15-F15</f>
        <v>54798.462370461784</v>
      </c>
      <c r="C15" s="35">
        <f>'Detaildarstellung Transaktionen'!F17+'Detaildarstellung Transaktionen'!F18</f>
        <v>199727.5</v>
      </c>
      <c r="D15" s="34">
        <v>0</v>
      </c>
      <c r="E15" s="34">
        <f>'Detaildarstellung Transaktionen'!F34</f>
        <v>75600</v>
      </c>
      <c r="F15" s="36">
        <v>0</v>
      </c>
      <c r="G15" s="34">
        <f>'Detaildarstellung Transaktionen'!F54+'Detaildarstellung Transaktionen'!F55+'Detaildarstellung Transaktionen'!F71+'Detaildarstellung Transaktionen'!F56</f>
        <v>329165.59999999998</v>
      </c>
      <c r="H15" s="33">
        <v>3</v>
      </c>
      <c r="I15" s="34">
        <f>B15*Übersicht!B36/365*H15</f>
        <v>4.503983208531106</v>
      </c>
    </row>
    <row r="16" spans="1:9" x14ac:dyDescent="0.2">
      <c r="A16" s="177">
        <v>41430</v>
      </c>
      <c r="B16" s="34">
        <f>B15+I15+G16-C16-D16-E16-F16</f>
        <v>952.46635367037379</v>
      </c>
      <c r="C16" s="57">
        <f>'Detaildarstellung Transaktionen'!F19</f>
        <v>38976</v>
      </c>
      <c r="D16" s="57">
        <v>0</v>
      </c>
      <c r="E16" s="57">
        <v>0</v>
      </c>
      <c r="F16" s="57">
        <f>'Detaildarstellung Transaktionen'!F42</f>
        <v>250494.99999999997</v>
      </c>
      <c r="G16" s="57">
        <f>'Detaildarstellung Transaktionen'!F78+'Detaildarstellung Transaktionen'!F72+'Detaildarstellung Transaktionen'!F57</f>
        <v>235620.5</v>
      </c>
      <c r="H16" s="176">
        <v>4</v>
      </c>
      <c r="I16" s="34">
        <f>B16*Übersicht!B36/365*H16</f>
        <v>0.10437987437483548</v>
      </c>
    </row>
    <row r="17" spans="1:9" x14ac:dyDescent="0.2">
      <c r="A17" s="38">
        <v>41434</v>
      </c>
      <c r="B17" s="34">
        <f>B16+I16+G17-C17-D17-E17-F17</f>
        <v>396834.57073354477</v>
      </c>
      <c r="C17" s="34">
        <v>0</v>
      </c>
      <c r="D17" s="34">
        <v>0</v>
      </c>
      <c r="E17" s="34">
        <v>0</v>
      </c>
      <c r="F17" s="34">
        <v>0</v>
      </c>
      <c r="G17" s="34">
        <f>'Detaildarstellung Transaktionen'!F58+'Detaildarstellung Transaktionen'!F59+'Detaildarstellung Transaktionen'!F79</f>
        <v>395882</v>
      </c>
      <c r="H17" s="33">
        <v>3</v>
      </c>
      <c r="I17" s="34">
        <f>B17*Übersicht!B36/365*H17</f>
        <v>32.616540060291349</v>
      </c>
    </row>
    <row r="18" spans="1:9" x14ac:dyDescent="0.2">
      <c r="A18" s="38">
        <v>41437</v>
      </c>
      <c r="B18" s="34">
        <f>B17+I17+G18-C18-D18-E18-F18</f>
        <v>396867.18727360509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192" t="s">
        <v>160</v>
      </c>
      <c r="I18" s="192" t="s">
        <v>160</v>
      </c>
    </row>
    <row r="25" spans="1:9" x14ac:dyDescent="0.2">
      <c r="G25" s="2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E4" workbookViewId="0">
      <selection activeCell="B17" sqref="B17"/>
    </sheetView>
  </sheetViews>
  <sheetFormatPr defaultColWidth="11.42578125" defaultRowHeight="15" x14ac:dyDescent="0.2"/>
  <cols>
    <col min="1" max="1" width="44" customWidth="1"/>
    <col min="3" max="3" width="14.28515625" customWidth="1"/>
    <col min="5" max="5" width="13.85546875" customWidth="1"/>
    <col min="6" max="7" width="19.42578125" customWidth="1"/>
    <col min="8" max="8" width="11.7109375" customWidth="1"/>
    <col min="15" max="15" width="13.28515625" customWidth="1"/>
    <col min="19" max="19" width="14.28515625" customWidth="1"/>
  </cols>
  <sheetData>
    <row r="1" spans="1:15" ht="23.25" x14ac:dyDescent="0.3">
      <c r="A1" s="1" t="s">
        <v>28</v>
      </c>
    </row>
    <row r="2" spans="1:15" ht="15" customHeight="1" x14ac:dyDescent="0.3">
      <c r="A2" s="1"/>
    </row>
    <row r="3" spans="1:15" ht="18.75" x14ac:dyDescent="0.25">
      <c r="A3" s="2" t="s">
        <v>1</v>
      </c>
    </row>
    <row r="4" spans="1:15" x14ac:dyDescent="0.2">
      <c r="A4" s="22" t="s">
        <v>2</v>
      </c>
      <c r="B4" s="22" t="s">
        <v>3</v>
      </c>
      <c r="C4" s="22" t="s">
        <v>29</v>
      </c>
      <c r="D4" s="22" t="s">
        <v>30</v>
      </c>
      <c r="E4" s="22" t="s">
        <v>5</v>
      </c>
      <c r="F4" s="22" t="s">
        <v>31</v>
      </c>
      <c r="G4" s="22" t="s">
        <v>41</v>
      </c>
      <c r="H4" s="22" t="s">
        <v>32</v>
      </c>
      <c r="I4" s="21"/>
      <c r="J4" s="21"/>
      <c r="K4" s="21"/>
      <c r="L4" s="21"/>
      <c r="M4" s="21"/>
      <c r="N4" s="21"/>
      <c r="O4" s="21"/>
    </row>
    <row r="5" spans="1:15" x14ac:dyDescent="0.2">
      <c r="A5" s="206" t="s">
        <v>11</v>
      </c>
      <c r="B5">
        <v>5493309</v>
      </c>
      <c r="C5" s="37">
        <v>41366</v>
      </c>
      <c r="D5">
        <v>30000</v>
      </c>
      <c r="E5" s="26">
        <v>3.3</v>
      </c>
      <c r="F5" s="26">
        <v>99000</v>
      </c>
      <c r="G5" s="26" t="s">
        <v>40</v>
      </c>
      <c r="H5" t="s">
        <v>33</v>
      </c>
    </row>
    <row r="6" spans="1:15" x14ac:dyDescent="0.2">
      <c r="A6" s="207" t="s">
        <v>38</v>
      </c>
      <c r="B6" s="49" t="s">
        <v>39</v>
      </c>
      <c r="C6" s="37">
        <v>41366</v>
      </c>
      <c r="D6">
        <v>50000</v>
      </c>
      <c r="E6" s="51">
        <v>0.80800000000000005</v>
      </c>
      <c r="F6" s="51">
        <v>40000</v>
      </c>
      <c r="G6" s="51" t="s">
        <v>40</v>
      </c>
      <c r="H6" t="s">
        <v>42</v>
      </c>
    </row>
    <row r="7" spans="1:15" x14ac:dyDescent="0.2">
      <c r="A7" s="206" t="s">
        <v>47</v>
      </c>
      <c r="B7">
        <v>716460</v>
      </c>
      <c r="C7" s="37">
        <v>41367</v>
      </c>
      <c r="D7">
        <v>2000</v>
      </c>
      <c r="E7" s="51">
        <v>62.5</v>
      </c>
      <c r="F7" s="53">
        <v>125000</v>
      </c>
      <c r="G7" s="53" t="s">
        <v>48</v>
      </c>
      <c r="H7" t="s">
        <v>46</v>
      </c>
    </row>
    <row r="8" spans="1:15" x14ac:dyDescent="0.2">
      <c r="A8" s="206" t="s">
        <v>76</v>
      </c>
      <c r="B8" s="97" t="s">
        <v>77</v>
      </c>
      <c r="C8" s="37">
        <v>41378</v>
      </c>
      <c r="D8">
        <v>920</v>
      </c>
      <c r="E8" s="51">
        <v>87.74</v>
      </c>
      <c r="F8" s="98">
        <v>80720.800000000003</v>
      </c>
      <c r="G8" s="53" t="s">
        <v>45</v>
      </c>
      <c r="H8" t="s">
        <v>78</v>
      </c>
    </row>
    <row r="9" spans="1:15" x14ac:dyDescent="0.2">
      <c r="A9" s="206" t="s">
        <v>79</v>
      </c>
      <c r="B9">
        <v>789617</v>
      </c>
      <c r="C9" s="37">
        <v>41378</v>
      </c>
      <c r="D9">
        <v>550</v>
      </c>
      <c r="E9" s="51">
        <v>159.19999999999999</v>
      </c>
      <c r="F9" s="98">
        <v>87560</v>
      </c>
      <c r="G9" s="53" t="s">
        <v>45</v>
      </c>
      <c r="H9" t="s">
        <v>78</v>
      </c>
    </row>
    <row r="10" spans="1:15" x14ac:dyDescent="0.2">
      <c r="A10" s="206" t="s">
        <v>89</v>
      </c>
      <c r="B10" s="97">
        <v>703712</v>
      </c>
      <c r="C10" s="37">
        <v>41392</v>
      </c>
      <c r="D10">
        <v>2500</v>
      </c>
      <c r="E10" s="51">
        <v>26.94</v>
      </c>
      <c r="F10" s="98">
        <f>E10*D10</f>
        <v>67350</v>
      </c>
      <c r="G10" s="53" t="s">
        <v>45</v>
      </c>
      <c r="H10" t="s">
        <v>88</v>
      </c>
    </row>
    <row r="11" spans="1:15" x14ac:dyDescent="0.2">
      <c r="A11" s="206" t="s">
        <v>98</v>
      </c>
      <c r="B11" s="97">
        <v>865985</v>
      </c>
      <c r="C11" s="37">
        <v>41398</v>
      </c>
      <c r="D11">
        <v>230</v>
      </c>
      <c r="E11" s="51">
        <v>344</v>
      </c>
      <c r="F11" s="98">
        <v>79120</v>
      </c>
      <c r="G11" s="53" t="s">
        <v>45</v>
      </c>
      <c r="H11" t="s">
        <v>99</v>
      </c>
    </row>
    <row r="12" spans="1:15" x14ac:dyDescent="0.2">
      <c r="A12" s="206" t="s">
        <v>105</v>
      </c>
      <c r="B12" s="97">
        <v>578560</v>
      </c>
      <c r="C12" s="37">
        <v>41406</v>
      </c>
      <c r="D12">
        <v>1100</v>
      </c>
      <c r="E12" s="51">
        <v>97.85</v>
      </c>
      <c r="F12" s="98">
        <f>D12*E12</f>
        <v>107635</v>
      </c>
      <c r="G12" s="53" t="s">
        <v>45</v>
      </c>
      <c r="H12" t="s">
        <v>106</v>
      </c>
    </row>
    <row r="13" spans="1:15" x14ac:dyDescent="0.2">
      <c r="A13" s="206" t="s">
        <v>111</v>
      </c>
      <c r="B13" s="97">
        <v>659990</v>
      </c>
      <c r="C13" s="37">
        <v>41406</v>
      </c>
      <c r="D13">
        <v>950</v>
      </c>
      <c r="E13" s="51">
        <v>121.97</v>
      </c>
      <c r="F13" s="98">
        <f>D13*E13</f>
        <v>115871.5</v>
      </c>
      <c r="G13" s="53" t="s">
        <v>45</v>
      </c>
      <c r="H13" t="s">
        <v>110</v>
      </c>
    </row>
    <row r="14" spans="1:15" x14ac:dyDescent="0.2">
      <c r="A14" s="206" t="s">
        <v>124</v>
      </c>
      <c r="B14" s="97">
        <v>566480</v>
      </c>
      <c r="C14" s="37">
        <v>41415</v>
      </c>
      <c r="D14">
        <v>50000</v>
      </c>
      <c r="E14" s="51">
        <v>2.8</v>
      </c>
      <c r="F14" s="98">
        <f>D14*E14</f>
        <v>140000</v>
      </c>
      <c r="G14" s="53" t="s">
        <v>45</v>
      </c>
      <c r="H14" t="s">
        <v>125</v>
      </c>
    </row>
    <row r="15" spans="1:15" x14ac:dyDescent="0.2">
      <c r="A15" s="208" t="s">
        <v>129</v>
      </c>
      <c r="B15" s="60" t="s">
        <v>128</v>
      </c>
      <c r="C15" s="50">
        <v>41420</v>
      </c>
      <c r="D15" s="145">
        <v>550</v>
      </c>
      <c r="E15" s="17">
        <v>84.54</v>
      </c>
      <c r="F15" s="99">
        <f>E15*D15</f>
        <v>46497</v>
      </c>
      <c r="G15" s="99" t="s">
        <v>45</v>
      </c>
      <c r="H15" t="s">
        <v>130</v>
      </c>
    </row>
    <row r="16" spans="1:15" x14ac:dyDescent="0.2">
      <c r="A16" s="208" t="s">
        <v>135</v>
      </c>
      <c r="B16" s="60">
        <v>623100</v>
      </c>
      <c r="C16" s="50">
        <v>41421</v>
      </c>
      <c r="D16" s="172">
        <v>11900</v>
      </c>
      <c r="E16" s="17">
        <v>6.3</v>
      </c>
      <c r="F16" s="99">
        <f>D16*E16</f>
        <v>74970</v>
      </c>
      <c r="G16" s="99" t="s">
        <v>133</v>
      </c>
      <c r="H16" t="s">
        <v>136</v>
      </c>
    </row>
    <row r="17" spans="1:19" x14ac:dyDescent="0.2">
      <c r="A17" s="208" t="s">
        <v>141</v>
      </c>
      <c r="B17" s="60">
        <v>852363</v>
      </c>
      <c r="C17" s="50">
        <v>41427</v>
      </c>
      <c r="D17" s="172">
        <v>14500</v>
      </c>
      <c r="E17" s="17">
        <v>6.86</v>
      </c>
      <c r="F17" s="99">
        <f>D17*E17</f>
        <v>99470</v>
      </c>
      <c r="G17" s="99" t="s">
        <v>142</v>
      </c>
      <c r="H17" t="s">
        <v>143</v>
      </c>
    </row>
    <row r="18" spans="1:19" x14ac:dyDescent="0.2">
      <c r="A18" s="208" t="s">
        <v>144</v>
      </c>
      <c r="B18" s="60" t="s">
        <v>146</v>
      </c>
      <c r="C18" s="50">
        <v>41427</v>
      </c>
      <c r="D18" s="172">
        <v>850</v>
      </c>
      <c r="E18" s="17">
        <v>117.95</v>
      </c>
      <c r="F18" s="99">
        <f>D18*E18</f>
        <v>100257.5</v>
      </c>
      <c r="G18" s="99" t="s">
        <v>45</v>
      </c>
      <c r="H18" t="s">
        <v>145</v>
      </c>
    </row>
    <row r="19" spans="1:19" x14ac:dyDescent="0.2">
      <c r="A19" s="208" t="s">
        <v>156</v>
      </c>
      <c r="B19" s="60">
        <v>531370</v>
      </c>
      <c r="C19" s="50">
        <v>41430</v>
      </c>
      <c r="D19" s="172">
        <v>1600</v>
      </c>
      <c r="E19" s="17">
        <v>24.36</v>
      </c>
      <c r="F19" s="99">
        <f>D19*E19</f>
        <v>38976</v>
      </c>
      <c r="G19" s="99" t="s">
        <v>45</v>
      </c>
      <c r="H19" t="s">
        <v>157</v>
      </c>
    </row>
    <row r="20" spans="1:19" x14ac:dyDescent="0.2">
      <c r="A20" s="150"/>
      <c r="B20" s="60"/>
      <c r="C20" s="50"/>
      <c r="D20" s="145"/>
      <c r="E20" s="17"/>
      <c r="F20" s="99"/>
      <c r="G20" s="99"/>
    </row>
    <row r="21" spans="1:19" x14ac:dyDescent="0.2">
      <c r="C21" s="37"/>
      <c r="E21" s="51"/>
      <c r="F21" s="53"/>
      <c r="G21" s="53"/>
    </row>
    <row r="22" spans="1:19" ht="18.75" x14ac:dyDescent="0.25">
      <c r="A22" s="2" t="s">
        <v>12</v>
      </c>
    </row>
    <row r="23" spans="1:19" x14ac:dyDescent="0.2">
      <c r="A23" s="55" t="s">
        <v>2</v>
      </c>
      <c r="B23" s="55" t="s">
        <v>3</v>
      </c>
      <c r="C23" s="55" t="s">
        <v>29</v>
      </c>
      <c r="D23" s="55" t="s">
        <v>30</v>
      </c>
      <c r="E23" s="55" t="s">
        <v>5</v>
      </c>
      <c r="F23" s="55" t="s">
        <v>31</v>
      </c>
      <c r="G23" s="55" t="s">
        <v>41</v>
      </c>
      <c r="H23" s="22" t="s">
        <v>32</v>
      </c>
      <c r="I23" s="21"/>
      <c r="J23" s="21"/>
      <c r="K23" s="21"/>
      <c r="L23" s="21"/>
      <c r="M23" s="21"/>
      <c r="N23" s="21"/>
      <c r="O23" s="21"/>
      <c r="P23" s="21" t="s">
        <v>95</v>
      </c>
      <c r="Q23" s="21" t="s">
        <v>112</v>
      </c>
      <c r="R23" s="21" t="s">
        <v>97</v>
      </c>
      <c r="S23" s="21" t="s">
        <v>96</v>
      </c>
    </row>
    <row r="24" spans="1:19" x14ac:dyDescent="0.2">
      <c r="A24" s="210" t="s">
        <v>43</v>
      </c>
      <c r="B24" s="60" t="s">
        <v>44</v>
      </c>
      <c r="C24" s="37">
        <v>41366</v>
      </c>
      <c r="D24" s="52">
        <v>2</v>
      </c>
      <c r="E24" s="19">
        <v>1.2975000000000001</v>
      </c>
      <c r="F24" s="129">
        <f>(E24+P24)*S24</f>
        <v>134816.66666666669</v>
      </c>
      <c r="G24" s="17" t="s">
        <v>45</v>
      </c>
      <c r="H24" s="52" t="s">
        <v>57</v>
      </c>
      <c r="I24" s="47"/>
      <c r="J24" s="47"/>
      <c r="K24" s="47"/>
      <c r="L24" s="47"/>
      <c r="M24" s="47"/>
      <c r="N24" s="47"/>
      <c r="P24" s="163">
        <f>Q24*96/180</f>
        <v>5.0666666666666672E-2</v>
      </c>
      <c r="Q24" s="163">
        <v>9.5000000000000001E-2</v>
      </c>
      <c r="R24" s="164">
        <v>50000</v>
      </c>
      <c r="S24" s="165">
        <v>100000</v>
      </c>
    </row>
    <row r="25" spans="1:19" x14ac:dyDescent="0.2">
      <c r="A25" s="211" t="s">
        <v>49</v>
      </c>
      <c r="B25" s="52">
        <v>113524</v>
      </c>
      <c r="C25" s="37">
        <v>41366</v>
      </c>
      <c r="D25" s="52">
        <f>Übersicht!Q16/Übersicht!P16</f>
        <v>8000000</v>
      </c>
      <c r="E25" s="19">
        <v>1.0295000000000001</v>
      </c>
      <c r="F25" s="129">
        <f>(E25+P25)*S25</f>
        <v>83170.410958904118</v>
      </c>
      <c r="G25" s="54" t="s">
        <v>50</v>
      </c>
      <c r="H25" s="52" t="s">
        <v>94</v>
      </c>
      <c r="I25" s="47"/>
      <c r="J25" s="47"/>
      <c r="K25" s="47"/>
      <c r="L25" s="47"/>
      <c r="M25" s="47"/>
      <c r="N25" s="47"/>
      <c r="P25" s="163">
        <f>Q25*87/365</f>
        <v>1.013013698630137E-2</v>
      </c>
      <c r="Q25" s="163">
        <v>4.2500000000000003E-2</v>
      </c>
      <c r="R25" s="164">
        <v>0.01</v>
      </c>
      <c r="S25" s="165">
        <v>80000</v>
      </c>
    </row>
    <row r="26" spans="1:19" ht="15" customHeight="1" x14ac:dyDescent="0.2">
      <c r="A26" s="52"/>
      <c r="B26" s="52"/>
      <c r="C26" s="37"/>
      <c r="D26" s="52"/>
      <c r="E26" s="19"/>
      <c r="F26" s="54"/>
      <c r="G26" s="54"/>
      <c r="H26" s="52"/>
      <c r="I26" s="47"/>
      <c r="J26" s="47"/>
      <c r="K26" s="47"/>
      <c r="L26" s="47"/>
      <c r="M26" s="47"/>
      <c r="N26" s="47"/>
    </row>
    <row r="27" spans="1:19" x14ac:dyDescent="0.2">
      <c r="A27" s="52"/>
      <c r="B27" s="52"/>
      <c r="C27" s="37"/>
      <c r="D27" s="52"/>
      <c r="E27" s="54"/>
      <c r="F27" s="166"/>
      <c r="G27" s="54"/>
      <c r="H27" s="52"/>
      <c r="I27" s="47"/>
      <c r="J27" s="47"/>
      <c r="K27" s="47"/>
      <c r="L27" s="47"/>
      <c r="M27" s="47"/>
      <c r="N27" s="47"/>
    </row>
    <row r="28" spans="1:19" ht="18.75" x14ac:dyDescent="0.25">
      <c r="A28" s="2" t="s">
        <v>13</v>
      </c>
    </row>
    <row r="29" spans="1:19" x14ac:dyDescent="0.2">
      <c r="A29" s="55" t="s">
        <v>2</v>
      </c>
      <c r="B29" s="55" t="s">
        <v>3</v>
      </c>
      <c r="C29" s="55" t="s">
        <v>29</v>
      </c>
      <c r="D29" s="55" t="s">
        <v>30</v>
      </c>
      <c r="E29" s="55" t="s">
        <v>5</v>
      </c>
      <c r="F29" s="55" t="s">
        <v>31</v>
      </c>
      <c r="G29" s="55" t="s">
        <v>41</v>
      </c>
      <c r="H29" s="22" t="s">
        <v>32</v>
      </c>
      <c r="I29" s="21"/>
      <c r="J29" s="21"/>
      <c r="K29" s="21"/>
      <c r="L29" s="21"/>
      <c r="M29" s="21"/>
      <c r="N29" s="21"/>
      <c r="O29" s="21"/>
    </row>
    <row r="30" spans="1:19" x14ac:dyDescent="0.2">
      <c r="A30" s="210" t="s">
        <v>51</v>
      </c>
      <c r="B30" s="12" t="s">
        <v>52</v>
      </c>
      <c r="C30" s="50">
        <v>41366</v>
      </c>
      <c r="D30" s="52">
        <v>900</v>
      </c>
      <c r="E30" s="17">
        <v>91.9</v>
      </c>
      <c r="F30" s="17">
        <v>82710</v>
      </c>
      <c r="G30" s="17" t="s">
        <v>45</v>
      </c>
      <c r="H30" s="52" t="s">
        <v>55</v>
      </c>
      <c r="I30" s="47"/>
      <c r="J30" s="47"/>
      <c r="K30" s="47"/>
      <c r="L30" s="47"/>
      <c r="M30" s="47"/>
      <c r="N30" s="47"/>
      <c r="O30" s="47"/>
    </row>
    <row r="31" spans="1:19" x14ac:dyDescent="0.2">
      <c r="A31" s="212" t="s">
        <v>90</v>
      </c>
      <c r="B31" s="12" t="s">
        <v>91</v>
      </c>
      <c r="C31" s="50">
        <v>41392</v>
      </c>
      <c r="D31" s="52">
        <v>50000</v>
      </c>
      <c r="E31" s="17">
        <v>0.62</v>
      </c>
      <c r="F31" s="17">
        <f>E31*D31</f>
        <v>31000</v>
      </c>
      <c r="G31" s="17" t="s">
        <v>92</v>
      </c>
      <c r="H31" s="52" t="s">
        <v>93</v>
      </c>
      <c r="I31" s="47"/>
      <c r="J31" s="47"/>
      <c r="K31" s="47"/>
      <c r="L31" s="47"/>
      <c r="M31" s="47"/>
      <c r="N31" s="47"/>
      <c r="O31" s="47"/>
    </row>
    <row r="32" spans="1:19" x14ac:dyDescent="0.2">
      <c r="A32" s="212" t="s">
        <v>107</v>
      </c>
      <c r="B32" s="12" t="s">
        <v>108</v>
      </c>
      <c r="C32" s="50">
        <v>41406</v>
      </c>
      <c r="D32" s="52">
        <v>550</v>
      </c>
      <c r="E32" s="17">
        <v>93</v>
      </c>
      <c r="F32" s="17">
        <f>D32*E32</f>
        <v>51150</v>
      </c>
      <c r="G32" s="17" t="s">
        <v>92</v>
      </c>
      <c r="H32" s="149" t="s">
        <v>109</v>
      </c>
      <c r="I32" s="47"/>
      <c r="J32" s="47"/>
      <c r="K32" s="47"/>
      <c r="L32" s="47"/>
      <c r="M32" s="47"/>
      <c r="N32" s="47"/>
      <c r="O32" s="47"/>
    </row>
    <row r="33" spans="1:15" ht="15" customHeight="1" x14ac:dyDescent="0.2">
      <c r="A33" s="213" t="s">
        <v>113</v>
      </c>
      <c r="B33" s="12" t="s">
        <v>114</v>
      </c>
      <c r="C33" s="50">
        <v>41406</v>
      </c>
      <c r="D33" s="52">
        <v>3000</v>
      </c>
      <c r="E33" s="17">
        <v>16.95</v>
      </c>
      <c r="F33" s="17">
        <f>D33*E33</f>
        <v>50850</v>
      </c>
      <c r="G33" s="17" t="s">
        <v>92</v>
      </c>
      <c r="H33" s="149" t="s">
        <v>115</v>
      </c>
      <c r="I33" s="47"/>
      <c r="J33" s="47"/>
      <c r="K33" s="47"/>
      <c r="L33" s="47"/>
      <c r="M33" s="47"/>
      <c r="N33" s="47"/>
      <c r="O33" s="47"/>
    </row>
    <row r="34" spans="1:15" x14ac:dyDescent="0.2">
      <c r="A34" s="213" t="s">
        <v>138</v>
      </c>
      <c r="B34" s="12" t="s">
        <v>139</v>
      </c>
      <c r="C34" s="50">
        <v>41427</v>
      </c>
      <c r="D34" s="52">
        <v>135000</v>
      </c>
      <c r="E34" s="17">
        <v>0.56000000000000005</v>
      </c>
      <c r="F34" s="17">
        <f>D34*E34</f>
        <v>75600</v>
      </c>
      <c r="G34" s="17" t="s">
        <v>92</v>
      </c>
      <c r="H34" s="149" t="s">
        <v>140</v>
      </c>
      <c r="I34" s="47"/>
      <c r="J34" s="47"/>
      <c r="K34" s="47"/>
      <c r="L34" s="47"/>
      <c r="M34" s="47"/>
      <c r="N34" s="47"/>
      <c r="O34" s="47"/>
    </row>
    <row r="35" spans="1:15" x14ac:dyDescent="0.2">
      <c r="A35" s="12"/>
      <c r="B35" s="12"/>
      <c r="C35" s="50"/>
      <c r="D35" s="52"/>
      <c r="E35" s="17"/>
      <c r="F35" s="17"/>
      <c r="G35" s="17"/>
      <c r="H35" s="52"/>
      <c r="I35" s="47"/>
      <c r="J35" s="47"/>
      <c r="K35" s="47"/>
      <c r="L35" s="47"/>
      <c r="M35" s="47"/>
      <c r="N35" s="47"/>
    </row>
    <row r="36" spans="1:15" x14ac:dyDescent="0.2">
      <c r="A36" s="46"/>
      <c r="B36" s="46"/>
      <c r="C36" s="46"/>
      <c r="D36" s="46"/>
      <c r="E36" s="46"/>
      <c r="F36" s="46"/>
      <c r="G36" s="46"/>
      <c r="H36" s="46"/>
      <c r="I36" s="47"/>
      <c r="J36" s="47"/>
      <c r="K36" s="47"/>
      <c r="L36" s="47"/>
      <c r="M36" s="47"/>
      <c r="N36" s="47"/>
    </row>
    <row r="37" spans="1:15" ht="18.75" x14ac:dyDescent="0.25">
      <c r="A37" s="2" t="s">
        <v>14</v>
      </c>
    </row>
    <row r="38" spans="1:15" x14ac:dyDescent="0.2">
      <c r="A38" s="55" t="s">
        <v>2</v>
      </c>
      <c r="B38" s="55"/>
      <c r="C38" s="55" t="s">
        <v>29</v>
      </c>
      <c r="D38" s="55" t="s">
        <v>30</v>
      </c>
      <c r="E38" s="55" t="s">
        <v>5</v>
      </c>
      <c r="F38" s="55" t="s">
        <v>31</v>
      </c>
      <c r="G38" s="55" t="s">
        <v>41</v>
      </c>
      <c r="H38" s="22" t="s">
        <v>32</v>
      </c>
      <c r="I38" s="21"/>
      <c r="J38" s="21"/>
      <c r="K38" s="21"/>
      <c r="L38" s="21"/>
      <c r="M38" s="21"/>
      <c r="N38" s="21"/>
      <c r="O38" s="21"/>
    </row>
    <row r="39" spans="1:15" x14ac:dyDescent="0.2">
      <c r="A39" s="210" t="s">
        <v>53</v>
      </c>
      <c r="B39" s="46"/>
      <c r="C39" s="50">
        <v>41366</v>
      </c>
      <c r="D39" s="52" t="s">
        <v>54</v>
      </c>
      <c r="E39" s="17">
        <v>1229.22</v>
      </c>
      <c r="F39" s="17">
        <v>122922</v>
      </c>
      <c r="G39" s="17" t="s">
        <v>40</v>
      </c>
      <c r="H39" s="52" t="s">
        <v>56</v>
      </c>
      <c r="I39" s="52"/>
      <c r="J39" s="47"/>
      <c r="K39" s="47"/>
      <c r="L39" s="47"/>
      <c r="M39" s="47"/>
      <c r="N39" s="47"/>
    </row>
    <row r="40" spans="1:15" x14ac:dyDescent="0.2">
      <c r="A40" s="209" t="s">
        <v>71</v>
      </c>
      <c r="B40" s="46"/>
      <c r="C40" s="90">
        <v>41378</v>
      </c>
      <c r="D40" s="64" t="s">
        <v>73</v>
      </c>
      <c r="E40" s="64">
        <v>1759.35</v>
      </c>
      <c r="F40" s="64">
        <v>87967.5</v>
      </c>
      <c r="G40" s="65" t="s">
        <v>40</v>
      </c>
      <c r="H40" s="65" t="s">
        <v>74</v>
      </c>
      <c r="I40" s="47"/>
      <c r="J40" s="47"/>
      <c r="K40" s="47"/>
      <c r="L40" s="47"/>
      <c r="M40" s="47"/>
      <c r="N40" s="47"/>
    </row>
    <row r="41" spans="1:15" x14ac:dyDescent="0.2">
      <c r="A41" s="209" t="s">
        <v>121</v>
      </c>
      <c r="B41" s="46"/>
      <c r="C41" s="90">
        <v>41415</v>
      </c>
      <c r="D41" s="64" t="s">
        <v>122</v>
      </c>
      <c r="E41" s="64">
        <v>202</v>
      </c>
      <c r="F41" s="64">
        <f>E41*250</f>
        <v>50500</v>
      </c>
      <c r="G41" s="65" t="s">
        <v>40</v>
      </c>
      <c r="H41" s="65" t="s">
        <v>123</v>
      </c>
      <c r="I41" s="47"/>
      <c r="J41" s="47"/>
      <c r="K41" s="47"/>
      <c r="L41" s="47"/>
      <c r="M41" s="47"/>
      <c r="N41" s="47"/>
    </row>
    <row r="42" spans="1:15" x14ac:dyDescent="0.2">
      <c r="A42" s="214" t="s">
        <v>150</v>
      </c>
      <c r="B42" s="46"/>
      <c r="C42" s="90">
        <v>41431</v>
      </c>
      <c r="D42" s="64" t="s">
        <v>151</v>
      </c>
      <c r="E42" s="64">
        <v>71.569999999999993</v>
      </c>
      <c r="F42" s="64">
        <f>3500*E42</f>
        <v>250494.99999999997</v>
      </c>
      <c r="G42" s="65" t="s">
        <v>40</v>
      </c>
      <c r="H42" s="65" t="s">
        <v>152</v>
      </c>
      <c r="I42" s="47"/>
      <c r="J42" s="47"/>
      <c r="K42" s="47"/>
      <c r="L42" s="47"/>
      <c r="M42" s="47"/>
      <c r="N42" s="47"/>
    </row>
    <row r="43" spans="1:15" x14ac:dyDescent="0.2">
      <c r="A43" s="46"/>
      <c r="B43" s="46"/>
      <c r="C43" s="46"/>
      <c r="D43" s="46"/>
      <c r="E43" s="46"/>
      <c r="F43" s="46"/>
      <c r="G43" s="46"/>
      <c r="H43" s="46"/>
      <c r="I43" s="47"/>
      <c r="J43" s="47"/>
      <c r="K43" s="47"/>
      <c r="L43" s="47"/>
      <c r="M43" s="47"/>
      <c r="N43" s="47"/>
    </row>
    <row r="45" spans="1:15" ht="23.25" x14ac:dyDescent="0.3">
      <c r="A45" s="1" t="s">
        <v>34</v>
      </c>
    </row>
    <row r="46" spans="1:15" ht="23.25" x14ac:dyDescent="0.3">
      <c r="A46" s="1"/>
    </row>
    <row r="47" spans="1:15" ht="18.75" x14ac:dyDescent="0.25">
      <c r="A47" s="2" t="s">
        <v>1</v>
      </c>
    </row>
    <row r="48" spans="1:15" x14ac:dyDescent="0.2">
      <c r="A48" s="22" t="s">
        <v>2</v>
      </c>
      <c r="B48" s="22" t="s">
        <v>3</v>
      </c>
      <c r="C48" s="22" t="s">
        <v>35</v>
      </c>
      <c r="D48" s="22" t="s">
        <v>30</v>
      </c>
      <c r="E48" s="22" t="s">
        <v>36</v>
      </c>
      <c r="F48" s="22" t="s">
        <v>37</v>
      </c>
      <c r="G48" s="22" t="s">
        <v>41</v>
      </c>
      <c r="H48" s="22" t="s">
        <v>8</v>
      </c>
      <c r="I48" s="22" t="s">
        <v>32</v>
      </c>
      <c r="J48" s="21"/>
      <c r="K48" s="21"/>
      <c r="L48" s="21"/>
      <c r="M48" s="21"/>
      <c r="N48" s="21"/>
      <c r="O48" s="21"/>
    </row>
    <row r="49" spans="1:19" x14ac:dyDescent="0.2">
      <c r="A49" s="207" t="s">
        <v>38</v>
      </c>
      <c r="B49" s="49" t="s">
        <v>39</v>
      </c>
      <c r="C49" s="108">
        <v>41392</v>
      </c>
      <c r="D49" s="49">
        <v>50000</v>
      </c>
      <c r="E49" s="109">
        <v>0.86</v>
      </c>
      <c r="F49" s="109">
        <f>E49*D49</f>
        <v>43000</v>
      </c>
      <c r="G49" s="49" t="s">
        <v>40</v>
      </c>
      <c r="H49" s="111">
        <f>F49-F6</f>
        <v>3000</v>
      </c>
      <c r="I49" s="110" t="s">
        <v>87</v>
      </c>
      <c r="J49" s="49"/>
      <c r="K49" s="49"/>
      <c r="L49" s="49"/>
      <c r="M49" s="49"/>
      <c r="N49" s="49"/>
      <c r="O49" s="49"/>
    </row>
    <row r="50" spans="1:19" x14ac:dyDescent="0.2">
      <c r="A50" s="207" t="s">
        <v>76</v>
      </c>
      <c r="B50" s="60" t="s">
        <v>77</v>
      </c>
      <c r="C50" s="108">
        <v>41406</v>
      </c>
      <c r="D50" s="49">
        <v>920</v>
      </c>
      <c r="E50" s="109">
        <v>94.17</v>
      </c>
      <c r="F50" s="109">
        <f>D50*E50</f>
        <v>86636.400000000009</v>
      </c>
      <c r="G50" s="49" t="s">
        <v>45</v>
      </c>
      <c r="H50" s="139">
        <f>F50-F8</f>
        <v>5915.6000000000058</v>
      </c>
      <c r="I50" s="110" t="s">
        <v>100</v>
      </c>
      <c r="J50" s="49"/>
      <c r="K50" s="49"/>
      <c r="L50" s="49"/>
      <c r="M50" s="49"/>
      <c r="N50" s="49"/>
      <c r="O50" s="49"/>
    </row>
    <row r="51" spans="1:19" x14ac:dyDescent="0.2">
      <c r="A51" s="207" t="s">
        <v>47</v>
      </c>
      <c r="B51" s="60">
        <v>716460</v>
      </c>
      <c r="C51" s="108">
        <v>41406</v>
      </c>
      <c r="D51" s="49">
        <v>2000</v>
      </c>
      <c r="E51" s="109">
        <v>63.13</v>
      </c>
      <c r="F51" s="109">
        <f>D51*E51</f>
        <v>126260</v>
      </c>
      <c r="G51" s="49" t="s">
        <v>48</v>
      </c>
      <c r="H51" s="139">
        <f>F51-F7</f>
        <v>1260</v>
      </c>
      <c r="I51" s="110" t="s">
        <v>103</v>
      </c>
      <c r="J51" s="49"/>
      <c r="K51" s="49"/>
      <c r="L51" s="49"/>
      <c r="M51" s="49"/>
      <c r="N51" s="49"/>
      <c r="O51" s="49"/>
    </row>
    <row r="52" spans="1:19" x14ac:dyDescent="0.2">
      <c r="A52" s="207" t="s">
        <v>79</v>
      </c>
      <c r="B52" s="60">
        <v>789617</v>
      </c>
      <c r="C52" s="108">
        <v>41415</v>
      </c>
      <c r="D52" s="49">
        <v>550</v>
      </c>
      <c r="E52" s="109">
        <v>172.5</v>
      </c>
      <c r="F52" s="109">
        <f>D52*E52</f>
        <v>94875</v>
      </c>
      <c r="G52" s="49" t="s">
        <v>45</v>
      </c>
      <c r="H52" s="139">
        <f>F52-F9</f>
        <v>7315</v>
      </c>
      <c r="I52" s="110" t="s">
        <v>116</v>
      </c>
      <c r="J52" s="49"/>
      <c r="K52" s="49"/>
      <c r="L52" s="49"/>
      <c r="M52" s="49"/>
      <c r="N52" s="49"/>
      <c r="O52" s="49"/>
    </row>
    <row r="53" spans="1:19" x14ac:dyDescent="0.2">
      <c r="A53" s="207" t="s">
        <v>89</v>
      </c>
      <c r="B53" s="60">
        <v>703712</v>
      </c>
      <c r="C53" s="108">
        <v>41415</v>
      </c>
      <c r="D53" s="49">
        <v>2500</v>
      </c>
      <c r="E53" s="109">
        <v>27.71</v>
      </c>
      <c r="F53" s="109">
        <f>E53*D53</f>
        <v>69275</v>
      </c>
      <c r="G53" s="49" t="s">
        <v>45</v>
      </c>
      <c r="H53" s="139">
        <f>F53-F10</f>
        <v>1925</v>
      </c>
      <c r="I53" s="110" t="s">
        <v>120</v>
      </c>
      <c r="J53" s="49"/>
      <c r="K53" s="49"/>
      <c r="L53" s="49"/>
      <c r="M53" s="49"/>
      <c r="N53" s="49"/>
      <c r="O53" s="49"/>
      <c r="S53" s="60"/>
    </row>
    <row r="54" spans="1:19" x14ac:dyDescent="0.2">
      <c r="A54" s="207" t="s">
        <v>98</v>
      </c>
      <c r="B54" s="60">
        <v>865985</v>
      </c>
      <c r="C54" s="108">
        <v>41427</v>
      </c>
      <c r="D54" s="49">
        <v>230</v>
      </c>
      <c r="E54" s="109">
        <v>351.72</v>
      </c>
      <c r="F54" s="109">
        <f t="shared" ref="F54:F59" si="0">D54*E54</f>
        <v>80895.600000000006</v>
      </c>
      <c r="G54" s="49" t="s">
        <v>45</v>
      </c>
      <c r="H54" s="139">
        <f>F54-F11</f>
        <v>1775.6000000000058</v>
      </c>
      <c r="I54" s="110" t="s">
        <v>132</v>
      </c>
      <c r="J54" s="49"/>
      <c r="K54" s="49"/>
      <c r="L54" s="49"/>
      <c r="M54" s="49"/>
      <c r="N54" s="49"/>
      <c r="O54" s="49"/>
      <c r="S54" s="60"/>
    </row>
    <row r="55" spans="1:19" x14ac:dyDescent="0.2">
      <c r="A55" s="207" t="s">
        <v>111</v>
      </c>
      <c r="B55" s="60">
        <v>659990</v>
      </c>
      <c r="C55" s="108">
        <v>41427</v>
      </c>
      <c r="D55" s="49">
        <v>950</v>
      </c>
      <c r="E55" s="109">
        <v>122.48</v>
      </c>
      <c r="F55" s="109">
        <f t="shared" si="0"/>
        <v>116356</v>
      </c>
      <c r="G55" s="49" t="s">
        <v>45</v>
      </c>
      <c r="H55" s="139">
        <f>F55-F13</f>
        <v>484.5</v>
      </c>
      <c r="I55" s="110" t="s">
        <v>132</v>
      </c>
      <c r="J55" s="49"/>
      <c r="K55" s="49"/>
      <c r="L55" s="49"/>
      <c r="M55" s="49"/>
      <c r="N55" s="49"/>
      <c r="O55" s="49"/>
      <c r="S55" s="60"/>
    </row>
    <row r="56" spans="1:19" x14ac:dyDescent="0.2">
      <c r="A56" s="207" t="s">
        <v>135</v>
      </c>
      <c r="B56" s="60">
        <v>623100</v>
      </c>
      <c r="C56" s="108">
        <v>41427</v>
      </c>
      <c r="D56" s="49">
        <v>11900</v>
      </c>
      <c r="E56" s="109">
        <v>6.56</v>
      </c>
      <c r="F56" s="109">
        <f t="shared" si="0"/>
        <v>78064</v>
      </c>
      <c r="G56" s="49" t="s">
        <v>45</v>
      </c>
      <c r="H56" s="139">
        <f>F56-F16</f>
        <v>3094</v>
      </c>
      <c r="I56" s="110" t="s">
        <v>137</v>
      </c>
      <c r="J56" s="49"/>
      <c r="K56" s="49"/>
      <c r="L56" s="49"/>
      <c r="M56" s="49"/>
      <c r="N56" s="49"/>
      <c r="O56" s="49"/>
      <c r="S56" s="60"/>
    </row>
    <row r="57" spans="1:19" x14ac:dyDescent="0.2">
      <c r="A57" s="207" t="s">
        <v>144</v>
      </c>
      <c r="B57" s="60" t="s">
        <v>146</v>
      </c>
      <c r="C57" s="108">
        <v>41430</v>
      </c>
      <c r="D57" s="49">
        <v>850</v>
      </c>
      <c r="E57" s="109">
        <v>119.73</v>
      </c>
      <c r="F57" s="109">
        <f t="shared" si="0"/>
        <v>101770.5</v>
      </c>
      <c r="G57" s="49" t="s">
        <v>45</v>
      </c>
      <c r="H57" s="139">
        <f>F57-F18</f>
        <v>1513</v>
      </c>
      <c r="I57" s="110" t="s">
        <v>149</v>
      </c>
      <c r="J57" s="49"/>
      <c r="K57" s="49"/>
      <c r="L57" s="49"/>
      <c r="M57" s="49"/>
      <c r="N57" s="49"/>
      <c r="O57" s="49"/>
    </row>
    <row r="58" spans="1:19" x14ac:dyDescent="0.2">
      <c r="A58" s="207" t="s">
        <v>141</v>
      </c>
      <c r="B58" s="60">
        <v>852363</v>
      </c>
      <c r="C58" s="108">
        <v>41434</v>
      </c>
      <c r="D58" s="49">
        <v>14500</v>
      </c>
      <c r="E58" s="109">
        <v>6.92</v>
      </c>
      <c r="F58" s="109">
        <f t="shared" si="0"/>
        <v>100340</v>
      </c>
      <c r="G58" s="49" t="s">
        <v>45</v>
      </c>
      <c r="H58" s="139">
        <f>F58-F17</f>
        <v>870</v>
      </c>
      <c r="I58" s="110" t="s">
        <v>158</v>
      </c>
      <c r="J58" s="49"/>
      <c r="K58" s="49"/>
      <c r="L58" s="49"/>
      <c r="M58" s="49"/>
      <c r="N58" s="49"/>
      <c r="O58" s="49"/>
    </row>
    <row r="59" spans="1:19" x14ac:dyDescent="0.2">
      <c r="A59" s="207" t="s">
        <v>156</v>
      </c>
      <c r="B59" s="60">
        <v>531370</v>
      </c>
      <c r="C59" s="108">
        <v>41434</v>
      </c>
      <c r="D59" s="49">
        <v>1600</v>
      </c>
      <c r="E59" s="109">
        <v>25.07</v>
      </c>
      <c r="F59" s="109">
        <f t="shared" si="0"/>
        <v>40112</v>
      </c>
      <c r="G59" s="49" t="s">
        <v>45</v>
      </c>
      <c r="H59" s="139">
        <f>F59-F19</f>
        <v>1136</v>
      </c>
      <c r="I59" s="110" t="s">
        <v>158</v>
      </c>
      <c r="J59" s="49"/>
      <c r="K59" s="49"/>
      <c r="L59" s="49"/>
      <c r="M59" s="49"/>
      <c r="N59" s="49"/>
      <c r="O59" s="49"/>
    </row>
    <row r="60" spans="1:19" x14ac:dyDescent="0.2">
      <c r="A60" s="48"/>
      <c r="B60" s="60"/>
      <c r="C60" s="108"/>
      <c r="D60" s="49"/>
      <c r="E60" s="109"/>
      <c r="F60" s="109"/>
      <c r="G60" s="49"/>
      <c r="H60" s="139"/>
      <c r="I60" s="110"/>
      <c r="J60" s="49"/>
      <c r="K60" s="49"/>
      <c r="L60" s="49"/>
      <c r="M60" s="49"/>
      <c r="N60" s="49"/>
      <c r="O60" s="49"/>
    </row>
    <row r="62" spans="1:19" ht="18.75" x14ac:dyDescent="0.25">
      <c r="A62" s="2" t="s">
        <v>12</v>
      </c>
    </row>
    <row r="63" spans="1:19" x14ac:dyDescent="0.2">
      <c r="A63" s="22" t="s">
        <v>2</v>
      </c>
      <c r="B63" s="22" t="s">
        <v>3</v>
      </c>
      <c r="C63" s="22" t="s">
        <v>35</v>
      </c>
      <c r="D63" s="22" t="s">
        <v>30</v>
      </c>
      <c r="E63" s="22" t="s">
        <v>36</v>
      </c>
      <c r="F63" s="22" t="s">
        <v>37</v>
      </c>
      <c r="G63" s="22" t="s">
        <v>41</v>
      </c>
      <c r="H63" s="22" t="s">
        <v>8</v>
      </c>
      <c r="I63" s="22" t="s">
        <v>32</v>
      </c>
      <c r="J63" s="21"/>
      <c r="K63" s="21"/>
      <c r="L63" s="21"/>
      <c r="M63" s="21"/>
      <c r="N63" s="21"/>
      <c r="O63" s="21"/>
      <c r="P63" s="21" t="s">
        <v>95</v>
      </c>
      <c r="Q63" s="21" t="s">
        <v>112</v>
      </c>
      <c r="R63" s="21" t="s">
        <v>97</v>
      </c>
      <c r="S63" s="21" t="s">
        <v>96</v>
      </c>
    </row>
    <row r="64" spans="1:19" x14ac:dyDescent="0.2">
      <c r="A64" s="209" t="s">
        <v>43</v>
      </c>
      <c r="B64" s="65" t="s">
        <v>44</v>
      </c>
      <c r="C64" s="90">
        <v>41406</v>
      </c>
      <c r="D64" s="65">
        <v>2</v>
      </c>
      <c r="E64" s="141">
        <v>1.33</v>
      </c>
      <c r="F64" s="64">
        <f>(E64+P64)*S64</f>
        <v>140744.56521739133</v>
      </c>
      <c r="G64" s="65" t="s">
        <v>45</v>
      </c>
      <c r="H64" s="107">
        <f>F64-F24</f>
        <v>5927.8985507246398</v>
      </c>
      <c r="I64" s="47" t="s">
        <v>102</v>
      </c>
      <c r="J64" s="47"/>
      <c r="K64" s="47"/>
      <c r="L64" s="47"/>
      <c r="M64" s="47"/>
      <c r="N64" s="47"/>
      <c r="P64" s="163">
        <f>Q64*150/184</f>
        <v>7.744565217391304E-2</v>
      </c>
      <c r="Q64" s="163">
        <v>9.5000000000000001E-2</v>
      </c>
      <c r="R64" s="164">
        <v>50000</v>
      </c>
      <c r="S64" s="165">
        <v>100000</v>
      </c>
    </row>
    <row r="65" spans="1:15" x14ac:dyDescent="0.2">
      <c r="A65" s="46"/>
      <c r="B65" s="46"/>
      <c r="C65" s="46"/>
      <c r="D65" s="46"/>
      <c r="E65" s="46"/>
      <c r="F65" s="46"/>
      <c r="G65" s="46"/>
      <c r="H65" s="46"/>
      <c r="I65" s="47"/>
      <c r="J65" s="47"/>
      <c r="K65" s="47"/>
      <c r="L65" s="47"/>
      <c r="M65" s="47"/>
      <c r="N65" s="47"/>
    </row>
    <row r="66" spans="1:15" x14ac:dyDescent="0.2">
      <c r="A66" s="46"/>
      <c r="B66" s="46"/>
      <c r="C66" s="46"/>
      <c r="D66" s="46"/>
      <c r="E66" s="46"/>
      <c r="F66" s="46"/>
      <c r="G66" s="46"/>
      <c r="H66" s="46"/>
      <c r="I66" s="47"/>
      <c r="J66" s="47"/>
      <c r="K66" s="47"/>
      <c r="L66" s="47"/>
      <c r="M66" s="47"/>
      <c r="N66" s="47"/>
    </row>
    <row r="67" spans="1:15" ht="18.75" x14ac:dyDescent="0.25">
      <c r="A67" s="2" t="s">
        <v>13</v>
      </c>
    </row>
    <row r="68" spans="1:15" x14ac:dyDescent="0.2">
      <c r="A68" s="22" t="s">
        <v>2</v>
      </c>
      <c r="B68" s="22" t="s">
        <v>3</v>
      </c>
      <c r="C68" s="22" t="s">
        <v>35</v>
      </c>
      <c r="D68" s="22" t="s">
        <v>30</v>
      </c>
      <c r="E68" s="22" t="s">
        <v>36</v>
      </c>
      <c r="F68" s="22" t="s">
        <v>37</v>
      </c>
      <c r="G68" s="22" t="s">
        <v>41</v>
      </c>
      <c r="H68" s="22" t="s">
        <v>8</v>
      </c>
      <c r="I68" s="22" t="s">
        <v>32</v>
      </c>
      <c r="J68" s="21"/>
      <c r="K68" s="21"/>
      <c r="L68" s="21"/>
      <c r="M68" s="21"/>
      <c r="N68" s="21"/>
      <c r="O68" s="21"/>
    </row>
    <row r="69" spans="1:15" x14ac:dyDescent="0.2">
      <c r="A69" s="209" t="s">
        <v>51</v>
      </c>
      <c r="B69" s="65" t="s">
        <v>52</v>
      </c>
      <c r="C69" s="90">
        <v>41392</v>
      </c>
      <c r="D69" s="65">
        <v>900</v>
      </c>
      <c r="E69" s="64">
        <v>95.85</v>
      </c>
      <c r="F69" s="64">
        <f>E69*D69</f>
        <v>86265</v>
      </c>
      <c r="G69" s="65" t="s">
        <v>45</v>
      </c>
      <c r="H69" s="107">
        <f>F69-F30</f>
        <v>3555</v>
      </c>
      <c r="I69" s="65" t="s">
        <v>84</v>
      </c>
      <c r="J69" s="65"/>
      <c r="K69" s="65"/>
      <c r="L69" s="65"/>
      <c r="M69" s="47"/>
      <c r="N69" s="47"/>
    </row>
    <row r="70" spans="1:15" x14ac:dyDescent="0.2">
      <c r="A70" s="209" t="s">
        <v>90</v>
      </c>
      <c r="B70" s="65" t="s">
        <v>91</v>
      </c>
      <c r="C70" s="90">
        <v>41406</v>
      </c>
      <c r="D70" s="65">
        <v>50000</v>
      </c>
      <c r="E70" s="64">
        <v>0.51</v>
      </c>
      <c r="F70" s="64">
        <f>D70*E70</f>
        <v>25500</v>
      </c>
      <c r="G70" s="65" t="s">
        <v>92</v>
      </c>
      <c r="H70" s="140">
        <f>F70-F31</f>
        <v>-5500</v>
      </c>
      <c r="I70" s="65" t="s">
        <v>101</v>
      </c>
      <c r="J70" s="65"/>
      <c r="K70" s="65"/>
      <c r="L70" s="65"/>
      <c r="M70" s="47"/>
      <c r="N70" s="47"/>
    </row>
    <row r="71" spans="1:15" x14ac:dyDescent="0.2">
      <c r="A71" s="209" t="s">
        <v>113</v>
      </c>
      <c r="B71" s="65" t="s">
        <v>114</v>
      </c>
      <c r="C71" s="90">
        <v>41427</v>
      </c>
      <c r="D71" s="65">
        <v>3000</v>
      </c>
      <c r="E71" s="64">
        <v>17.95</v>
      </c>
      <c r="F71" s="64">
        <f>D71*E71</f>
        <v>53850</v>
      </c>
      <c r="G71" s="65" t="s">
        <v>92</v>
      </c>
      <c r="H71" s="107">
        <f>F71-F33</f>
        <v>3000</v>
      </c>
      <c r="I71" s="65" t="s">
        <v>134</v>
      </c>
      <c r="J71" s="65"/>
      <c r="K71" s="47"/>
      <c r="L71" s="47"/>
      <c r="M71" s="47"/>
      <c r="N71" s="47"/>
    </row>
    <row r="72" spans="1:15" x14ac:dyDescent="0.2">
      <c r="A72" s="209" t="s">
        <v>138</v>
      </c>
      <c r="B72" s="65" t="s">
        <v>139</v>
      </c>
      <c r="C72" s="90">
        <v>41430</v>
      </c>
      <c r="D72" s="65">
        <v>135000</v>
      </c>
      <c r="E72" s="64">
        <v>0.61</v>
      </c>
      <c r="F72" s="64">
        <f>D72*E72</f>
        <v>82350</v>
      </c>
      <c r="G72" s="65" t="s">
        <v>92</v>
      </c>
      <c r="H72" s="107">
        <f>F72-F34</f>
        <v>6750</v>
      </c>
      <c r="I72" s="65" t="s">
        <v>148</v>
      </c>
      <c r="J72" s="65"/>
      <c r="K72" s="47"/>
      <c r="L72" s="47"/>
      <c r="M72" s="47"/>
      <c r="N72" s="47"/>
    </row>
    <row r="73" spans="1:15" x14ac:dyDescent="0.2">
      <c r="A73" s="65"/>
      <c r="B73" s="46"/>
      <c r="C73" s="46"/>
      <c r="D73" s="46"/>
      <c r="E73" s="46"/>
      <c r="F73" s="46"/>
      <c r="G73" s="46"/>
      <c r="H73" s="46"/>
      <c r="I73" s="47"/>
      <c r="J73" s="47"/>
      <c r="K73" s="47"/>
      <c r="L73" s="47"/>
      <c r="M73" s="47"/>
      <c r="N73" s="47"/>
    </row>
    <row r="74" spans="1:15" x14ac:dyDescent="0.2">
      <c r="A74" s="46"/>
      <c r="B74" s="46"/>
      <c r="C74" s="46"/>
      <c r="D74" s="46"/>
      <c r="E74" s="46"/>
      <c r="F74" s="46"/>
      <c r="G74" s="46"/>
      <c r="H74" s="46"/>
      <c r="I74" s="47"/>
      <c r="J74" s="47"/>
      <c r="K74" s="47"/>
      <c r="L74" s="47"/>
      <c r="M74" s="47"/>
      <c r="N74" s="47"/>
    </row>
    <row r="75" spans="1:15" ht="18.75" x14ac:dyDescent="0.25">
      <c r="A75" s="2" t="s">
        <v>14</v>
      </c>
    </row>
    <row r="76" spans="1:15" x14ac:dyDescent="0.2">
      <c r="A76" s="22" t="s">
        <v>2</v>
      </c>
      <c r="B76" s="22"/>
      <c r="C76" s="22" t="s">
        <v>35</v>
      </c>
      <c r="D76" s="22" t="s">
        <v>30</v>
      </c>
      <c r="E76" s="22" t="s">
        <v>36</v>
      </c>
      <c r="F76" s="22" t="s">
        <v>37</v>
      </c>
      <c r="G76" s="22" t="s">
        <v>41</v>
      </c>
      <c r="H76" s="22" t="s">
        <v>8</v>
      </c>
      <c r="I76" s="22" t="s">
        <v>32</v>
      </c>
      <c r="J76" s="21"/>
      <c r="K76" s="21"/>
      <c r="L76" s="21"/>
      <c r="M76" s="21"/>
      <c r="N76" s="21"/>
    </row>
    <row r="77" spans="1:15" x14ac:dyDescent="0.2">
      <c r="A77" s="206" t="s">
        <v>71</v>
      </c>
      <c r="C77" s="37">
        <v>41415</v>
      </c>
      <c r="D77" t="s">
        <v>73</v>
      </c>
      <c r="E77" s="26">
        <v>1824.39</v>
      </c>
      <c r="F77" s="26">
        <f>50*E77</f>
        <v>91219.5</v>
      </c>
      <c r="G77" t="s">
        <v>40</v>
      </c>
      <c r="H77" s="120">
        <f>F77-F40</f>
        <v>3252</v>
      </c>
      <c r="I77" t="s">
        <v>117</v>
      </c>
    </row>
    <row r="78" spans="1:15" x14ac:dyDescent="0.2">
      <c r="A78" s="206" t="s">
        <v>121</v>
      </c>
      <c r="C78" s="37">
        <v>41430</v>
      </c>
      <c r="D78" t="s">
        <v>122</v>
      </c>
      <c r="E78" s="26">
        <v>206</v>
      </c>
      <c r="F78" s="26">
        <f>250*E78</f>
        <v>51500</v>
      </c>
      <c r="G78" t="s">
        <v>40</v>
      </c>
      <c r="H78" s="120">
        <f>F78-F41</f>
        <v>1000</v>
      </c>
      <c r="I78" t="s">
        <v>147</v>
      </c>
    </row>
    <row r="79" spans="1:15" x14ac:dyDescent="0.2">
      <c r="A79" s="206" t="s">
        <v>159</v>
      </c>
      <c r="C79" s="37">
        <v>41434</v>
      </c>
      <c r="D79" t="s">
        <v>151</v>
      </c>
      <c r="E79">
        <v>72.98</v>
      </c>
      <c r="F79" s="26">
        <f>3500*E79</f>
        <v>255430</v>
      </c>
      <c r="G79" t="s">
        <v>40</v>
      </c>
      <c r="H79" s="120">
        <f>F79-F42</f>
        <v>4935.0000000000291</v>
      </c>
      <c r="I79" s="110" t="s">
        <v>158</v>
      </c>
    </row>
    <row r="80" spans="1:15" x14ac:dyDescent="0.2">
      <c r="C80" s="37"/>
    </row>
  </sheetData>
  <pageMargins left="0.7" right="0.7" top="0.78740157499999996" bottom="0.78740157499999996" header="0.3" footer="0.3"/>
  <pageSetup paperSize="9" orientation="portrait" horizontalDpi="0" verticalDpi="0" r:id="rId1"/>
  <ignoredErrors>
    <ignoredError sqref="F5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K25" workbookViewId="0">
      <selection activeCell="Z17" sqref="Z17:AA17"/>
    </sheetView>
  </sheetViews>
  <sheetFormatPr defaultColWidth="11.42578125" defaultRowHeight="15" x14ac:dyDescent="0.2"/>
  <cols>
    <col min="1" max="1" width="43.28515625" customWidth="1"/>
    <col min="16" max="16" width="11.5703125" bestFit="1" customWidth="1"/>
    <col min="17" max="21" width="12.5703125" bestFit="1" customWidth="1"/>
    <col min="22" max="22" width="12.7109375" bestFit="1" customWidth="1"/>
  </cols>
  <sheetData>
    <row r="1" spans="1:27" ht="23.25" x14ac:dyDescent="0.3">
      <c r="A1" s="1" t="s">
        <v>1</v>
      </c>
    </row>
    <row r="2" spans="1:27" x14ac:dyDescent="0.2">
      <c r="A2" s="20"/>
      <c r="B2" s="39">
        <v>41366</v>
      </c>
      <c r="C2" s="39">
        <v>41372</v>
      </c>
      <c r="D2" s="39">
        <v>41378</v>
      </c>
      <c r="E2" s="39">
        <v>41385</v>
      </c>
      <c r="F2" s="39">
        <v>41392</v>
      </c>
      <c r="G2" s="39">
        <v>41398</v>
      </c>
      <c r="H2" s="39">
        <v>41406</v>
      </c>
      <c r="I2" s="158">
        <v>41415</v>
      </c>
      <c r="J2" s="158">
        <v>41420</v>
      </c>
      <c r="K2" s="158">
        <v>41421</v>
      </c>
      <c r="L2" s="39">
        <v>41427</v>
      </c>
      <c r="M2" s="39">
        <v>41430</v>
      </c>
      <c r="N2" s="39">
        <v>41434</v>
      </c>
    </row>
    <row r="3" spans="1:27" x14ac:dyDescent="0.2">
      <c r="A3" s="20" t="s">
        <v>11</v>
      </c>
      <c r="B3" s="215">
        <v>3.3</v>
      </c>
      <c r="C3" s="61">
        <v>3.22</v>
      </c>
      <c r="D3" s="215">
        <v>3.23</v>
      </c>
      <c r="E3" s="61">
        <v>3.21</v>
      </c>
      <c r="F3" s="215">
        <v>3.22</v>
      </c>
      <c r="G3" s="61">
        <v>3.28</v>
      </c>
      <c r="H3" s="215">
        <v>3.33</v>
      </c>
      <c r="I3" s="17">
        <v>3.3</v>
      </c>
      <c r="J3" s="216">
        <v>3.12</v>
      </c>
      <c r="K3" s="17">
        <v>3.15</v>
      </c>
      <c r="L3" s="216">
        <v>3.15</v>
      </c>
      <c r="M3" s="129">
        <v>3.02</v>
      </c>
      <c r="N3" s="216">
        <v>2.92</v>
      </c>
      <c r="P3" s="223">
        <f>(C3-B3)/B3</f>
        <v>-2.4242424242424131E-2</v>
      </c>
      <c r="Q3" s="223">
        <f>(D3-C3)/C3</f>
        <v>3.1055900621117347E-3</v>
      </c>
      <c r="R3" s="223">
        <f t="shared" ref="R3:U9" si="0">(E3-D3)/D3</f>
        <v>-6.1919504643962904E-3</v>
      </c>
      <c r="S3" s="223">
        <f t="shared" si="0"/>
        <v>3.1152647975078601E-3</v>
      </c>
      <c r="T3" s="223">
        <f t="shared" si="0"/>
        <v>1.8633540372670686E-2</v>
      </c>
      <c r="U3" s="223">
        <f t="shared" si="0"/>
        <v>1.5243902439024473E-2</v>
      </c>
      <c r="V3" s="223">
        <f t="shared" ref="V3:V11" si="1">(I3-H3)/H3</f>
        <v>-9.0090090090090835E-3</v>
      </c>
      <c r="W3" s="223">
        <f t="shared" ref="W3:W12" si="2">(J3-I3)/I3</f>
        <v>-5.454545454545446E-2</v>
      </c>
      <c r="X3" s="223">
        <f t="shared" ref="X3:X13" si="3">(K3-J3)/J3</f>
        <v>9.6153846153845517E-3</v>
      </c>
      <c r="Y3" s="223">
        <f t="shared" ref="Y3:Y15" si="4">(L3-K3)/K3</f>
        <v>0</v>
      </c>
      <c r="Z3" s="223">
        <f t="shared" ref="Z3:AA17" si="5">(M3-L3)/L3</f>
        <v>-4.1269841269841234E-2</v>
      </c>
      <c r="AA3" s="223">
        <f t="shared" si="5"/>
        <v>-3.3112582781456984E-2</v>
      </c>
    </row>
    <row r="4" spans="1:27" x14ac:dyDescent="0.2">
      <c r="A4" s="20" t="s">
        <v>38</v>
      </c>
      <c r="B4" s="215">
        <v>0.8</v>
      </c>
      <c r="C4" s="61">
        <v>0.83</v>
      </c>
      <c r="D4" s="215">
        <v>0.8</v>
      </c>
      <c r="E4" s="61">
        <v>0.77</v>
      </c>
      <c r="F4" s="215">
        <v>0.86</v>
      </c>
      <c r="G4" s="61"/>
      <c r="L4" s="17"/>
      <c r="P4" s="223">
        <f t="shared" ref="P4:P5" si="6">(C4-B4)/B4</f>
        <v>3.7499999999999895E-2</v>
      </c>
      <c r="Q4" s="223">
        <f t="shared" ref="Q4:Q5" si="7">(D4-C4)/C4</f>
        <v>-3.6144578313252913E-2</v>
      </c>
      <c r="R4" s="223">
        <f t="shared" si="0"/>
        <v>-3.7500000000000033E-2</v>
      </c>
      <c r="S4" s="223">
        <f t="shared" si="0"/>
        <v>0.11688311688311684</v>
      </c>
      <c r="T4" s="223"/>
      <c r="U4" s="223"/>
      <c r="V4" s="223"/>
      <c r="W4" s="223"/>
      <c r="X4" s="223"/>
      <c r="Y4" s="223"/>
      <c r="Z4" s="223"/>
      <c r="AA4" s="223"/>
    </row>
    <row r="5" spans="1:27" x14ac:dyDescent="0.2">
      <c r="A5" s="20" t="s">
        <v>47</v>
      </c>
      <c r="B5" s="215">
        <v>62.5</v>
      </c>
      <c r="C5" s="61">
        <v>60</v>
      </c>
      <c r="D5" s="215">
        <v>59.45</v>
      </c>
      <c r="E5" s="61">
        <v>57.72</v>
      </c>
      <c r="F5" s="215">
        <v>59.59</v>
      </c>
      <c r="G5" s="61">
        <v>62.03</v>
      </c>
      <c r="H5" s="215">
        <v>63.13</v>
      </c>
      <c r="L5" s="17"/>
      <c r="P5" s="223">
        <f t="shared" si="6"/>
        <v>-0.04</v>
      </c>
      <c r="Q5" s="223">
        <f t="shared" si="7"/>
        <v>-9.1666666666666199E-3</v>
      </c>
      <c r="R5" s="223">
        <f t="shared" si="0"/>
        <v>-2.9100084104289384E-2</v>
      </c>
      <c r="S5" s="223">
        <f t="shared" si="0"/>
        <v>3.2397782397782481E-2</v>
      </c>
      <c r="T5" s="223">
        <f t="shared" si="0"/>
        <v>4.0946467528108703E-2</v>
      </c>
      <c r="U5" s="223">
        <f t="shared" si="0"/>
        <v>1.7733354828308904E-2</v>
      </c>
      <c r="V5" s="223"/>
      <c r="W5" s="223"/>
      <c r="X5" s="223"/>
      <c r="Y5" s="223"/>
      <c r="Z5" s="223"/>
      <c r="AA5" s="223"/>
    </row>
    <row r="6" spans="1:27" x14ac:dyDescent="0.2">
      <c r="A6" s="20" t="s">
        <v>76</v>
      </c>
      <c r="B6" s="61"/>
      <c r="C6" s="61"/>
      <c r="D6" s="215">
        <v>87.74</v>
      </c>
      <c r="E6" s="61">
        <v>88.5</v>
      </c>
      <c r="F6" s="215">
        <v>92.67</v>
      </c>
      <c r="G6" s="61">
        <v>94.65</v>
      </c>
      <c r="H6" s="215">
        <v>94.17</v>
      </c>
      <c r="L6" s="17"/>
      <c r="P6" s="223"/>
      <c r="Q6" s="223"/>
      <c r="R6" s="223">
        <f t="shared" si="0"/>
        <v>8.6619557784363473E-3</v>
      </c>
      <c r="S6" s="223">
        <f t="shared" si="0"/>
        <v>4.7118644067796631E-2</v>
      </c>
      <c r="T6" s="223">
        <f t="shared" si="0"/>
        <v>2.1366137908708362E-2</v>
      </c>
      <c r="U6" s="223">
        <f t="shared" si="0"/>
        <v>-5.0713153724247645E-3</v>
      </c>
      <c r="V6" s="223"/>
      <c r="W6" s="223"/>
      <c r="X6" s="223"/>
      <c r="Y6" s="223"/>
      <c r="Z6" s="223"/>
      <c r="AA6" s="223"/>
    </row>
    <row r="7" spans="1:27" x14ac:dyDescent="0.2">
      <c r="A7" s="20" t="s">
        <v>79</v>
      </c>
      <c r="B7" s="61"/>
      <c r="C7" s="61"/>
      <c r="D7" s="215">
        <v>159.19999999999999</v>
      </c>
      <c r="E7" s="61">
        <v>153</v>
      </c>
      <c r="F7" s="215">
        <v>163.63999999999999</v>
      </c>
      <c r="G7" s="61">
        <v>167.5</v>
      </c>
      <c r="H7" s="215">
        <v>164.6</v>
      </c>
      <c r="I7" s="217">
        <v>172.5</v>
      </c>
      <c r="L7" s="17"/>
      <c r="P7" s="223"/>
      <c r="Q7" s="223"/>
      <c r="R7" s="223">
        <f t="shared" si="0"/>
        <v>-3.8944723618090385E-2</v>
      </c>
      <c r="S7" s="223">
        <f t="shared" si="0"/>
        <v>6.9542483660130633E-2</v>
      </c>
      <c r="T7" s="223">
        <f t="shared" si="0"/>
        <v>2.3588364703006685E-2</v>
      </c>
      <c r="U7" s="223">
        <f t="shared" si="0"/>
        <v>-1.731343283582093E-2</v>
      </c>
      <c r="V7" s="223">
        <f t="shared" si="1"/>
        <v>4.7995139732685335E-2</v>
      </c>
      <c r="W7" s="223"/>
      <c r="X7" s="223"/>
      <c r="Y7" s="223"/>
      <c r="Z7" s="223"/>
      <c r="AA7" s="223"/>
    </row>
    <row r="8" spans="1:27" x14ac:dyDescent="0.2">
      <c r="A8" s="20" t="s">
        <v>89</v>
      </c>
      <c r="B8" s="61"/>
      <c r="C8" s="61"/>
      <c r="D8" s="61"/>
      <c r="E8" s="61"/>
      <c r="F8" s="215">
        <v>26.94</v>
      </c>
      <c r="G8" s="61">
        <v>27.68</v>
      </c>
      <c r="H8" s="215">
        <v>27.77</v>
      </c>
      <c r="I8" s="216">
        <v>26.94</v>
      </c>
      <c r="L8" s="17"/>
      <c r="P8" s="223"/>
      <c r="Q8" s="223"/>
      <c r="R8" s="223"/>
      <c r="S8" s="223"/>
      <c r="T8" s="223">
        <f t="shared" si="0"/>
        <v>2.7468448403860372E-2</v>
      </c>
      <c r="U8" s="223">
        <f t="shared" si="0"/>
        <v>3.2514450867051972E-3</v>
      </c>
      <c r="V8" s="223">
        <f t="shared" si="1"/>
        <v>-2.9888368743248048E-2</v>
      </c>
      <c r="W8" s="223"/>
      <c r="X8" s="223"/>
      <c r="Y8" s="223"/>
      <c r="Z8" s="223"/>
      <c r="AA8" s="223"/>
    </row>
    <row r="9" spans="1:27" x14ac:dyDescent="0.2">
      <c r="A9" s="20" t="s">
        <v>98</v>
      </c>
      <c r="B9" s="61"/>
      <c r="C9" s="61"/>
      <c r="D9" s="61"/>
      <c r="E9" s="61"/>
      <c r="F9" s="61"/>
      <c r="G9" s="215">
        <v>344</v>
      </c>
      <c r="H9" s="61">
        <v>348.49</v>
      </c>
      <c r="I9" s="216">
        <v>344</v>
      </c>
      <c r="J9" s="17">
        <v>343.01</v>
      </c>
      <c r="K9" s="216">
        <v>344.7</v>
      </c>
      <c r="L9" s="216">
        <v>351.72</v>
      </c>
      <c r="P9" s="223"/>
      <c r="Q9" s="223"/>
      <c r="R9" s="223"/>
      <c r="S9" s="223"/>
      <c r="T9" s="223"/>
      <c r="U9" s="223">
        <f t="shared" si="0"/>
        <v>1.3052325581395375E-2</v>
      </c>
      <c r="V9" s="223">
        <f t="shared" si="1"/>
        <v>-1.2884157364630288E-2</v>
      </c>
      <c r="W9" s="223">
        <f t="shared" si="2"/>
        <v>-2.8779069767442124E-3</v>
      </c>
      <c r="X9" s="223">
        <f t="shared" si="3"/>
        <v>4.9269700591819416E-3</v>
      </c>
      <c r="Y9" s="223">
        <f t="shared" si="4"/>
        <v>2.036553524804189E-2</v>
      </c>
      <c r="Z9" s="223"/>
      <c r="AA9" s="223"/>
    </row>
    <row r="10" spans="1:27" x14ac:dyDescent="0.2">
      <c r="A10" s="20" t="s">
        <v>105</v>
      </c>
      <c r="B10" s="61"/>
      <c r="C10" s="61"/>
      <c r="D10" s="61"/>
      <c r="E10" s="61"/>
      <c r="F10" s="61"/>
      <c r="G10" s="61"/>
      <c r="H10" s="215">
        <v>97.85</v>
      </c>
      <c r="I10" s="17">
        <v>97.85</v>
      </c>
      <c r="J10" s="216">
        <v>94.46</v>
      </c>
      <c r="K10" s="17">
        <v>94.72</v>
      </c>
      <c r="L10" s="216">
        <v>91.37</v>
      </c>
      <c r="M10" s="17">
        <v>92.28</v>
      </c>
      <c r="N10" s="216">
        <v>91.72</v>
      </c>
      <c r="P10" s="223"/>
      <c r="Q10" s="223"/>
      <c r="R10" s="223"/>
      <c r="S10" s="223"/>
      <c r="T10" s="223"/>
      <c r="U10" s="223"/>
      <c r="V10" s="223">
        <f t="shared" si="1"/>
        <v>0</v>
      </c>
      <c r="W10" s="223">
        <f t="shared" si="2"/>
        <v>-3.4644864588656114E-2</v>
      </c>
      <c r="X10" s="223">
        <f t="shared" si="3"/>
        <v>2.7524878255346724E-3</v>
      </c>
      <c r="Y10" s="223">
        <f t="shared" si="4"/>
        <v>-3.5367398648648588E-2</v>
      </c>
      <c r="Z10" s="223">
        <f t="shared" si="5"/>
        <v>9.9595053080879566E-3</v>
      </c>
      <c r="AA10" s="223">
        <f t="shared" si="5"/>
        <v>-6.0684872128305405E-3</v>
      </c>
    </row>
    <row r="11" spans="1:27" x14ac:dyDescent="0.2">
      <c r="A11" s="20" t="s">
        <v>111</v>
      </c>
      <c r="B11" s="61"/>
      <c r="C11" s="61"/>
      <c r="D11" s="61"/>
      <c r="E11" s="61"/>
      <c r="F11" s="61"/>
      <c r="G11" s="61"/>
      <c r="H11" s="215">
        <v>121.97</v>
      </c>
      <c r="I11" s="17">
        <v>121.97</v>
      </c>
      <c r="J11" s="216">
        <v>122.85</v>
      </c>
      <c r="K11" s="17">
        <v>123.05</v>
      </c>
      <c r="L11" s="216">
        <v>122.48</v>
      </c>
      <c r="M11" s="17"/>
      <c r="P11" s="223"/>
      <c r="Q11" s="223"/>
      <c r="R11" s="223"/>
      <c r="S11" s="223"/>
      <c r="T11" s="223"/>
      <c r="U11" s="223"/>
      <c r="V11" s="223">
        <f t="shared" si="1"/>
        <v>0</v>
      </c>
      <c r="W11" s="223">
        <f t="shared" si="2"/>
        <v>7.2148889071082679E-3</v>
      </c>
      <c r="X11" s="223">
        <f t="shared" si="3"/>
        <v>1.6280016280016511E-3</v>
      </c>
      <c r="Y11" s="223">
        <f t="shared" si="4"/>
        <v>-4.6322633075984816E-3</v>
      </c>
      <c r="Z11" s="223"/>
      <c r="AA11" s="223"/>
    </row>
    <row r="12" spans="1:27" x14ac:dyDescent="0.2">
      <c r="A12" s="20" t="s">
        <v>124</v>
      </c>
      <c r="B12" s="61"/>
      <c r="C12" s="61"/>
      <c r="D12" s="61"/>
      <c r="E12" s="61"/>
      <c r="F12" s="61"/>
      <c r="G12" s="61"/>
      <c r="H12" s="61"/>
      <c r="I12" s="216">
        <v>2.8</v>
      </c>
      <c r="J12" s="17">
        <v>2.75</v>
      </c>
      <c r="K12" s="216">
        <v>2.8</v>
      </c>
      <c r="L12" s="17">
        <v>2.8</v>
      </c>
      <c r="M12" s="216">
        <v>2.73</v>
      </c>
      <c r="N12" s="216">
        <v>2.76</v>
      </c>
      <c r="P12" s="223"/>
      <c r="Q12" s="223"/>
      <c r="R12" s="223"/>
      <c r="S12" s="223"/>
      <c r="T12" s="223"/>
      <c r="U12" s="223"/>
      <c r="V12" s="223"/>
      <c r="W12" s="223">
        <f t="shared" si="2"/>
        <v>-1.7857142857142794E-2</v>
      </c>
      <c r="X12" s="223">
        <f t="shared" si="3"/>
        <v>1.8181818181818118E-2</v>
      </c>
      <c r="Y12" s="223">
        <f t="shared" si="4"/>
        <v>0</v>
      </c>
      <c r="Z12" s="223">
        <f t="shared" si="5"/>
        <v>-2.4999999999999946E-2</v>
      </c>
      <c r="AA12" s="223">
        <f t="shared" si="5"/>
        <v>1.0989010989010917E-2</v>
      </c>
    </row>
    <row r="13" spans="1:27" x14ac:dyDescent="0.2">
      <c r="A13" s="20" t="s">
        <v>131</v>
      </c>
      <c r="B13" s="61"/>
      <c r="C13" s="61"/>
      <c r="D13" s="61"/>
      <c r="E13" s="61"/>
      <c r="F13" s="61"/>
      <c r="G13" s="61"/>
      <c r="H13" s="61"/>
      <c r="I13" s="17"/>
      <c r="J13" s="216">
        <v>84.54</v>
      </c>
      <c r="K13" s="17">
        <v>84.67</v>
      </c>
      <c r="L13" s="216">
        <v>82.92</v>
      </c>
      <c r="M13" s="17">
        <v>81.08</v>
      </c>
      <c r="N13" s="216">
        <v>83.27</v>
      </c>
      <c r="O13" s="145"/>
      <c r="P13" s="223"/>
      <c r="Q13" s="223"/>
      <c r="R13" s="223"/>
      <c r="S13" s="223"/>
      <c r="T13" s="223"/>
      <c r="U13" s="223"/>
      <c r="V13" s="223"/>
      <c r="W13" s="223"/>
      <c r="X13" s="223">
        <f t="shared" si="3"/>
        <v>1.5377336172225627E-3</v>
      </c>
      <c r="Y13" s="223">
        <f t="shared" si="4"/>
        <v>-2.0668477618991377E-2</v>
      </c>
      <c r="Z13" s="223">
        <f t="shared" si="5"/>
        <v>-2.2190062711046833E-2</v>
      </c>
      <c r="AA13" s="223">
        <f t="shared" si="5"/>
        <v>2.7010360138135146E-2</v>
      </c>
    </row>
    <row r="14" spans="1:27" x14ac:dyDescent="0.2">
      <c r="A14" s="20" t="s">
        <v>135</v>
      </c>
      <c r="B14" s="61"/>
      <c r="C14" s="61"/>
      <c r="D14" s="61"/>
      <c r="E14" s="61"/>
      <c r="F14" s="61"/>
      <c r="G14" s="61"/>
      <c r="H14" s="61"/>
      <c r="I14" s="17"/>
      <c r="J14" s="17"/>
      <c r="K14" s="216">
        <v>6.3</v>
      </c>
      <c r="L14" s="216">
        <v>6.56</v>
      </c>
      <c r="M14" s="17"/>
      <c r="O14" s="172"/>
      <c r="P14" s="223"/>
      <c r="Q14" s="223"/>
      <c r="R14" s="223"/>
      <c r="S14" s="223"/>
      <c r="T14" s="223"/>
      <c r="U14" s="223"/>
      <c r="V14" s="223"/>
      <c r="W14" s="223"/>
      <c r="X14" s="223">
        <f>(K14-6.25)/6.25</f>
        <v>7.9999999999999724E-3</v>
      </c>
      <c r="Y14" s="223">
        <f t="shared" si="4"/>
        <v>4.1269841269841234E-2</v>
      </c>
      <c r="Z14" s="223"/>
      <c r="AA14" s="223"/>
    </row>
    <row r="15" spans="1:27" x14ac:dyDescent="0.2">
      <c r="A15" s="20" t="s">
        <v>141</v>
      </c>
      <c r="B15" s="61"/>
      <c r="C15" s="61"/>
      <c r="D15" s="61"/>
      <c r="E15" s="61"/>
      <c r="F15" s="61"/>
      <c r="G15" s="61"/>
      <c r="H15" s="61"/>
      <c r="I15" s="17"/>
      <c r="J15" s="17"/>
      <c r="K15" s="17">
        <v>7.2</v>
      </c>
      <c r="L15" s="216">
        <v>6.86</v>
      </c>
      <c r="M15" s="17">
        <v>6.78</v>
      </c>
      <c r="N15" s="216">
        <v>6.92</v>
      </c>
      <c r="O15" s="172"/>
      <c r="P15" s="223"/>
      <c r="Q15" s="223"/>
      <c r="R15" s="223"/>
      <c r="S15" s="223"/>
      <c r="T15" s="223"/>
      <c r="U15" s="223"/>
      <c r="V15" s="223"/>
      <c r="W15" s="223"/>
      <c r="X15" s="223"/>
      <c r="Y15" s="223">
        <f t="shared" si="4"/>
        <v>-4.72222222222222E-2</v>
      </c>
      <c r="Z15" s="223">
        <f t="shared" si="5"/>
        <v>-1.1661807580174937E-2</v>
      </c>
      <c r="AA15" s="223">
        <f t="shared" si="5"/>
        <v>2.064896755162237E-2</v>
      </c>
    </row>
    <row r="16" spans="1:27" x14ac:dyDescent="0.2">
      <c r="A16" s="20" t="s">
        <v>144</v>
      </c>
      <c r="B16" s="61"/>
      <c r="C16" s="61"/>
      <c r="D16" s="61"/>
      <c r="E16" s="61"/>
      <c r="F16" s="61"/>
      <c r="G16" s="61"/>
      <c r="H16" s="61"/>
      <c r="I16" s="17"/>
      <c r="J16" s="17"/>
      <c r="K16" s="17">
        <v>121</v>
      </c>
      <c r="L16" s="216">
        <v>117.95</v>
      </c>
      <c r="M16" s="216">
        <v>119.73</v>
      </c>
      <c r="O16" s="172"/>
      <c r="P16" s="223"/>
      <c r="Q16" s="223"/>
      <c r="R16" s="223"/>
      <c r="S16" s="223"/>
      <c r="T16" s="223"/>
      <c r="U16" s="223"/>
      <c r="V16" s="223"/>
      <c r="W16" s="223"/>
      <c r="X16" s="223"/>
      <c r="Y16" s="223">
        <f>(L16-121)/121</f>
        <v>-2.5206611570247912E-2</v>
      </c>
      <c r="Z16" s="223">
        <f t="shared" si="5"/>
        <v>1.5091140313692252E-2</v>
      </c>
      <c r="AA16" s="223"/>
    </row>
    <row r="17" spans="1:27" x14ac:dyDescent="0.2">
      <c r="A17" s="20" t="s">
        <v>156</v>
      </c>
      <c r="B17" s="61"/>
      <c r="C17" s="61"/>
      <c r="D17" s="61"/>
      <c r="E17" s="61"/>
      <c r="F17" s="61"/>
      <c r="G17" s="61"/>
      <c r="H17" s="61"/>
      <c r="I17" s="17"/>
      <c r="J17" s="17"/>
      <c r="K17" s="17"/>
      <c r="L17" s="17">
        <v>24.45</v>
      </c>
      <c r="M17" s="216">
        <v>24.36</v>
      </c>
      <c r="N17" s="216">
        <v>25.07</v>
      </c>
      <c r="O17" s="172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>
        <f t="shared" si="5"/>
        <v>-3.6809815950920189E-3</v>
      </c>
      <c r="AA17" s="223">
        <f t="shared" si="5"/>
        <v>2.914614121510677E-2</v>
      </c>
    </row>
    <row r="18" spans="1:27" x14ac:dyDescent="0.2">
      <c r="A18" s="47"/>
      <c r="B18" s="61"/>
      <c r="C18" s="61"/>
      <c r="D18" s="61"/>
    </row>
    <row r="19" spans="1:27" ht="23.25" x14ac:dyDescent="0.3">
      <c r="A19" s="1" t="s">
        <v>12</v>
      </c>
    </row>
    <row r="20" spans="1:27" x14ac:dyDescent="0.2">
      <c r="A20" s="40"/>
      <c r="B20" s="41">
        <v>41366</v>
      </c>
      <c r="C20" s="41">
        <v>41372</v>
      </c>
      <c r="D20" s="41">
        <v>41378</v>
      </c>
      <c r="E20" s="41">
        <v>41385</v>
      </c>
      <c r="F20" s="41">
        <v>41392</v>
      </c>
      <c r="G20" s="41">
        <v>41398</v>
      </c>
      <c r="H20" s="41">
        <v>41406</v>
      </c>
      <c r="I20" s="41">
        <v>41415</v>
      </c>
      <c r="J20" s="41">
        <v>41420</v>
      </c>
      <c r="K20" s="41">
        <v>41421</v>
      </c>
      <c r="L20" s="41">
        <v>41427</v>
      </c>
      <c r="M20" s="41">
        <v>41430</v>
      </c>
      <c r="N20" s="41">
        <v>41434</v>
      </c>
    </row>
    <row r="21" spans="1:27" x14ac:dyDescent="0.2">
      <c r="A21" s="40" t="s">
        <v>43</v>
      </c>
      <c r="B21" s="218">
        <v>1.2975000000000001</v>
      </c>
      <c r="C21" s="116">
        <v>1.2975000000000001</v>
      </c>
      <c r="D21" s="218">
        <v>1.3025</v>
      </c>
      <c r="E21" s="116">
        <v>1.3</v>
      </c>
      <c r="F21" s="219">
        <v>1.3075000000000001</v>
      </c>
      <c r="G21" s="116">
        <v>1.3149999999999999</v>
      </c>
      <c r="H21" s="218">
        <v>1.33</v>
      </c>
      <c r="P21" s="223">
        <f>(C21-B21)/B21</f>
        <v>0</v>
      </c>
      <c r="Q21" s="223">
        <f t="shared" ref="Q21:AA22" si="8">(D21-C21)/C21</f>
        <v>3.8535645472060833E-3</v>
      </c>
      <c r="R21" s="223">
        <f t="shared" si="8"/>
        <v>-1.9193857965450647E-3</v>
      </c>
      <c r="S21" s="223">
        <f t="shared" si="8"/>
        <v>5.7692307692308173E-3</v>
      </c>
      <c r="T21" s="223">
        <f t="shared" si="8"/>
        <v>5.7361376673038924E-3</v>
      </c>
      <c r="U21" s="223">
        <f t="shared" si="8"/>
        <v>1.1406844106463974E-2</v>
      </c>
      <c r="V21" s="223"/>
      <c r="W21" s="223"/>
      <c r="X21" s="223"/>
      <c r="Y21" s="223"/>
      <c r="Z21" s="223"/>
    </row>
    <row r="22" spans="1:27" x14ac:dyDescent="0.2">
      <c r="A22" s="40" t="s">
        <v>49</v>
      </c>
      <c r="B22" s="218">
        <v>1.0295000000000001</v>
      </c>
      <c r="C22" s="116">
        <v>1.0289999999999999</v>
      </c>
      <c r="D22" s="218">
        <v>1.0285</v>
      </c>
      <c r="E22" s="116">
        <v>1.0275000000000001</v>
      </c>
      <c r="F22" s="219">
        <v>1.0275000000000001</v>
      </c>
      <c r="G22" s="116">
        <v>1.026</v>
      </c>
      <c r="H22" s="218">
        <v>1.0249999999999999</v>
      </c>
      <c r="I22" s="116">
        <v>1.0265</v>
      </c>
      <c r="J22" s="218">
        <v>1.0234999999999999</v>
      </c>
      <c r="K22" s="116">
        <v>1.0235000000000001</v>
      </c>
      <c r="L22" s="218">
        <v>1.0226</v>
      </c>
      <c r="M22" s="116">
        <v>1.0243</v>
      </c>
      <c r="N22" s="218">
        <v>1.0216000000000001</v>
      </c>
      <c r="P22" s="223">
        <f>(C22-B22)/B22</f>
        <v>-4.8567265662959394E-4</v>
      </c>
      <c r="Q22" s="223">
        <f t="shared" si="8"/>
        <v>-4.8590864917390182E-4</v>
      </c>
      <c r="R22" s="223">
        <f t="shared" si="8"/>
        <v>-9.7228974234311123E-4</v>
      </c>
      <c r="S22" s="223">
        <f t="shared" si="8"/>
        <v>0</v>
      </c>
      <c r="T22" s="223">
        <f t="shared" si="8"/>
        <v>-1.4598540145985953E-3</v>
      </c>
      <c r="U22" s="223">
        <f t="shared" si="8"/>
        <v>-9.7465886939582052E-4</v>
      </c>
      <c r="V22" s="223">
        <f t="shared" si="8"/>
        <v>1.463414634146397E-3</v>
      </c>
      <c r="W22" s="223">
        <f t="shared" si="8"/>
        <v>-2.9225523623966037E-3</v>
      </c>
      <c r="X22" s="223">
        <f t="shared" si="8"/>
        <v>2.1694636533955186E-16</v>
      </c>
      <c r="Y22" s="223">
        <f t="shared" si="8"/>
        <v>-8.7933561309245026E-4</v>
      </c>
      <c r="Z22" s="223">
        <f t="shared" si="8"/>
        <v>1.6624291022883189E-3</v>
      </c>
      <c r="AA22" s="223">
        <f t="shared" si="8"/>
        <v>-2.6359465000487404E-3</v>
      </c>
    </row>
    <row r="24" spans="1:27" ht="23.25" x14ac:dyDescent="0.3">
      <c r="A24" s="1" t="s">
        <v>13</v>
      </c>
    </row>
    <row r="25" spans="1:27" x14ac:dyDescent="0.2">
      <c r="A25" s="42"/>
      <c r="B25" s="43">
        <v>41366</v>
      </c>
      <c r="C25" s="43">
        <v>41372</v>
      </c>
      <c r="D25" s="43">
        <v>41378</v>
      </c>
      <c r="E25" s="43">
        <v>41385</v>
      </c>
      <c r="F25" s="43">
        <v>41392</v>
      </c>
      <c r="G25" s="43">
        <v>41398</v>
      </c>
      <c r="H25" s="43">
        <v>41406</v>
      </c>
      <c r="I25" s="43">
        <v>41415</v>
      </c>
      <c r="J25" s="171">
        <v>41420</v>
      </c>
      <c r="K25" s="171">
        <v>41421</v>
      </c>
      <c r="L25" s="43">
        <v>41427</v>
      </c>
      <c r="M25" s="43">
        <v>41430</v>
      </c>
      <c r="N25" s="43">
        <v>41434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x14ac:dyDescent="0.2">
      <c r="A26" s="42" t="s">
        <v>51</v>
      </c>
      <c r="B26" s="215">
        <v>91.9</v>
      </c>
      <c r="C26" s="61">
        <v>91.27</v>
      </c>
      <c r="D26" s="215">
        <v>94.03</v>
      </c>
      <c r="E26" s="61">
        <v>89.92</v>
      </c>
      <c r="F26" s="215">
        <v>95.85</v>
      </c>
      <c r="I26" s="153"/>
      <c r="O26" s="52"/>
      <c r="P26" s="223">
        <f>(C26-B26)/B26</f>
        <v>-6.8552774755169712E-3</v>
      </c>
      <c r="Q26" s="223">
        <f t="shared" ref="Q26:AA30" si="9">(D26-C26)/C26</f>
        <v>3.0239947408787174E-2</v>
      </c>
      <c r="R26" s="223">
        <f t="shared" si="9"/>
        <v>-4.3709454429437404E-2</v>
      </c>
      <c r="S26" s="223">
        <f t="shared" si="9"/>
        <v>6.5947508896797069E-2</v>
      </c>
      <c r="T26" s="223"/>
      <c r="U26" s="223"/>
      <c r="V26" s="223"/>
      <c r="W26" s="223"/>
      <c r="X26" s="223"/>
      <c r="Y26" s="223"/>
      <c r="Z26" s="223"/>
      <c r="AA26" s="223"/>
    </row>
    <row r="27" spans="1:27" x14ac:dyDescent="0.2">
      <c r="A27" s="42" t="s">
        <v>90</v>
      </c>
      <c r="B27" s="61"/>
      <c r="C27" s="61"/>
      <c r="D27" s="61"/>
      <c r="E27" s="61"/>
      <c r="F27" s="215">
        <v>0.62</v>
      </c>
      <c r="G27" s="26">
        <v>0.62</v>
      </c>
      <c r="H27" s="215">
        <v>0.51</v>
      </c>
      <c r="O27" s="52"/>
      <c r="P27" s="223"/>
      <c r="Q27" s="223"/>
      <c r="R27" s="223"/>
      <c r="S27" s="223"/>
      <c r="T27" s="223">
        <f t="shared" si="9"/>
        <v>0</v>
      </c>
      <c r="U27" s="223">
        <f t="shared" si="9"/>
        <v>-0.17741935483870966</v>
      </c>
      <c r="V27" s="223"/>
      <c r="W27" s="223"/>
      <c r="X27" s="223"/>
      <c r="Y27" s="223"/>
      <c r="Z27" s="223"/>
      <c r="AA27" s="223"/>
    </row>
    <row r="28" spans="1:27" x14ac:dyDescent="0.2">
      <c r="A28" s="42" t="s">
        <v>107</v>
      </c>
      <c r="B28" s="61"/>
      <c r="C28" s="61"/>
      <c r="D28" s="61"/>
      <c r="E28" s="61"/>
      <c r="F28" s="61"/>
      <c r="G28" s="26"/>
      <c r="H28" s="215">
        <v>93</v>
      </c>
      <c r="I28" s="17">
        <v>93.88</v>
      </c>
      <c r="J28" s="215">
        <v>93.54</v>
      </c>
      <c r="K28" s="129">
        <v>94.79</v>
      </c>
      <c r="L28" s="216">
        <v>92.31</v>
      </c>
      <c r="M28" s="129">
        <v>89.69</v>
      </c>
      <c r="N28" s="216">
        <v>88.91</v>
      </c>
      <c r="O28" s="52"/>
      <c r="P28" s="223"/>
      <c r="Q28" s="223"/>
      <c r="R28" s="223"/>
      <c r="S28" s="223"/>
      <c r="T28" s="223"/>
      <c r="U28" s="223"/>
      <c r="V28" s="223">
        <f t="shared" si="9"/>
        <v>9.4623655913978009E-3</v>
      </c>
      <c r="W28" s="223">
        <f t="shared" si="9"/>
        <v>-3.6216446527480742E-3</v>
      </c>
      <c r="X28" s="223">
        <f t="shared" si="9"/>
        <v>1.3363267051528757E-2</v>
      </c>
      <c r="Y28" s="223">
        <f t="shared" si="9"/>
        <v>-2.6163097373140667E-2</v>
      </c>
      <c r="Z28" s="223">
        <f t="shared" si="9"/>
        <v>-2.8382623767739187E-2</v>
      </c>
      <c r="AA28" s="223">
        <f t="shared" si="9"/>
        <v>-8.6966216969561957E-3</v>
      </c>
    </row>
    <row r="29" spans="1:27" x14ac:dyDescent="0.2">
      <c r="A29" s="42" t="s">
        <v>113</v>
      </c>
      <c r="B29" s="61"/>
      <c r="C29" s="61"/>
      <c r="D29" s="61"/>
      <c r="E29" s="61"/>
      <c r="F29" s="61"/>
      <c r="G29" s="26"/>
      <c r="H29" s="215">
        <v>16.95</v>
      </c>
      <c r="I29" s="17">
        <v>16.989999999999998</v>
      </c>
      <c r="J29" s="215">
        <v>17</v>
      </c>
      <c r="K29" s="26">
        <v>17.239999999999998</v>
      </c>
      <c r="L29" s="216">
        <v>17.95</v>
      </c>
      <c r="O29" s="52"/>
      <c r="P29" s="223"/>
      <c r="Q29" s="223"/>
      <c r="R29" s="223"/>
      <c r="S29" s="223"/>
      <c r="T29" s="223"/>
      <c r="U29" s="223"/>
      <c r="V29" s="223">
        <f t="shared" si="9"/>
        <v>2.3598820058996547E-3</v>
      </c>
      <c r="W29" s="223">
        <f t="shared" si="9"/>
        <v>5.8858151854040985E-4</v>
      </c>
      <c r="X29" s="223">
        <f t="shared" si="9"/>
        <v>1.4117647058823438E-2</v>
      </c>
      <c r="Y29" s="223">
        <f t="shared" si="9"/>
        <v>4.1183294663573136E-2</v>
      </c>
      <c r="Z29" s="223"/>
      <c r="AA29" s="223"/>
    </row>
    <row r="30" spans="1:27" x14ac:dyDescent="0.2">
      <c r="A30" s="173" t="s">
        <v>138</v>
      </c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220">
        <v>0.56000000000000005</v>
      </c>
      <c r="M30">
        <v>0.61</v>
      </c>
      <c r="O30" s="52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>
        <f t="shared" si="9"/>
        <v>8.9285714285714163E-2</v>
      </c>
      <c r="AA30" s="223"/>
    </row>
    <row r="32" spans="1:27" ht="23.25" x14ac:dyDescent="0.3">
      <c r="A32" s="1" t="s">
        <v>14</v>
      </c>
    </row>
    <row r="33" spans="1:27" x14ac:dyDescent="0.2">
      <c r="A33" s="44"/>
      <c r="B33" s="45">
        <v>41366</v>
      </c>
      <c r="C33" s="45">
        <v>41372</v>
      </c>
      <c r="D33" s="45">
        <v>41378</v>
      </c>
      <c r="E33" s="45">
        <v>41385</v>
      </c>
      <c r="F33" s="45">
        <v>41392</v>
      </c>
      <c r="G33" s="45">
        <v>41398</v>
      </c>
      <c r="H33" s="45">
        <v>41406</v>
      </c>
      <c r="I33" s="45">
        <v>41415</v>
      </c>
      <c r="J33" s="45">
        <v>41420</v>
      </c>
      <c r="K33" s="45">
        <v>41421</v>
      </c>
      <c r="L33" s="45">
        <v>41427</v>
      </c>
      <c r="M33" s="45">
        <v>41430</v>
      </c>
      <c r="N33" s="45">
        <v>41434</v>
      </c>
    </row>
    <row r="34" spans="1:27" x14ac:dyDescent="0.2">
      <c r="A34" s="44" t="s">
        <v>53</v>
      </c>
      <c r="B34" s="221">
        <v>1229.22</v>
      </c>
      <c r="C34" s="61">
        <v>1214.8</v>
      </c>
      <c r="D34" s="215">
        <v>1127.82</v>
      </c>
      <c r="E34" s="61">
        <v>1073.6199999999999</v>
      </c>
      <c r="F34" s="215">
        <v>1120.43</v>
      </c>
      <c r="G34" s="61">
        <v>1121.23</v>
      </c>
      <c r="H34" s="215">
        <v>1117.19</v>
      </c>
      <c r="I34" s="17">
        <v>1073.58</v>
      </c>
      <c r="J34" s="216">
        <v>1072.1099999999999</v>
      </c>
      <c r="K34" s="129">
        <v>1078.5</v>
      </c>
      <c r="L34" s="216">
        <v>1068.51</v>
      </c>
      <c r="M34" s="129">
        <v>1071.45</v>
      </c>
      <c r="N34" s="216">
        <v>1046.6300000000001</v>
      </c>
      <c r="O34" s="225"/>
      <c r="P34" s="223">
        <f>(C34-B34)/B34</f>
        <v>-1.173101641691485E-2</v>
      </c>
      <c r="Q34" s="223">
        <f t="shared" ref="Q34:AA37" si="10">(D34-C34)/C34</f>
        <v>-7.1600263417846574E-2</v>
      </c>
      <c r="R34" s="223">
        <f t="shared" si="10"/>
        <v>-4.8057314110407735E-2</v>
      </c>
      <c r="S34" s="223">
        <f t="shared" si="10"/>
        <v>4.3600156479946514E-2</v>
      </c>
      <c r="T34" s="223">
        <f t="shared" si="10"/>
        <v>7.1401158483792339E-4</v>
      </c>
      <c r="U34" s="223">
        <f t="shared" si="10"/>
        <v>-3.6031857870374175E-3</v>
      </c>
      <c r="V34" s="223">
        <f t="shared" si="10"/>
        <v>-3.9035437123497461E-2</v>
      </c>
      <c r="W34" s="223">
        <f t="shared" si="10"/>
        <v>-1.3692505449058546E-3</v>
      </c>
      <c r="X34" s="223">
        <f t="shared" si="10"/>
        <v>5.9602093068809175E-3</v>
      </c>
      <c r="Y34" s="223">
        <f t="shared" si="10"/>
        <v>-9.2628650904033466E-3</v>
      </c>
      <c r="Z34" s="223">
        <f t="shared" si="10"/>
        <v>2.7514950725777529E-3</v>
      </c>
      <c r="AA34" s="223">
        <f t="shared" si="10"/>
        <v>-2.3164870035932553E-2</v>
      </c>
    </row>
    <row r="35" spans="1:27" x14ac:dyDescent="0.2">
      <c r="A35" s="44" t="s">
        <v>71</v>
      </c>
      <c r="B35" s="61"/>
      <c r="C35" s="47"/>
      <c r="D35" s="222">
        <v>1759.35</v>
      </c>
      <c r="E35" s="61">
        <v>1816.17</v>
      </c>
      <c r="F35" s="215">
        <v>1828.53</v>
      </c>
      <c r="G35" s="61">
        <v>1854.97</v>
      </c>
      <c r="H35" s="215">
        <v>1827.98</v>
      </c>
      <c r="I35" s="117">
        <v>1824.39</v>
      </c>
      <c r="J35" s="81"/>
      <c r="L35" s="216"/>
      <c r="N35" s="81"/>
      <c r="O35" s="224"/>
      <c r="P35" s="223"/>
      <c r="Q35" s="223"/>
      <c r="R35" s="223">
        <f t="shared" si="10"/>
        <v>3.229601841589233E-2</v>
      </c>
      <c r="S35" s="223">
        <f t="shared" si="10"/>
        <v>6.8055303192982482E-3</v>
      </c>
      <c r="T35" s="223">
        <f t="shared" si="10"/>
        <v>1.445970260263712E-2</v>
      </c>
      <c r="U35" s="223">
        <f t="shared" si="10"/>
        <v>-1.4550100540709559E-2</v>
      </c>
      <c r="V35" s="223">
        <f t="shared" si="10"/>
        <v>-1.9639164542281195E-3</v>
      </c>
      <c r="W35" s="223"/>
      <c r="X35" s="223"/>
      <c r="Y35" s="223"/>
      <c r="Z35" s="223"/>
      <c r="AA35" s="223"/>
    </row>
    <row r="36" spans="1:27" x14ac:dyDescent="0.2">
      <c r="A36" s="44" t="s">
        <v>121</v>
      </c>
      <c r="I36" s="26">
        <v>202</v>
      </c>
      <c r="J36" s="215">
        <v>204.75</v>
      </c>
      <c r="K36" s="26">
        <v>204</v>
      </c>
      <c r="L36" s="215">
        <v>206</v>
      </c>
      <c r="M36" s="26">
        <v>206</v>
      </c>
      <c r="N36" s="81"/>
      <c r="O36" s="224"/>
      <c r="P36" s="223"/>
      <c r="Q36" s="223"/>
      <c r="R36" s="223"/>
      <c r="S36" s="223"/>
      <c r="T36" s="223"/>
      <c r="U36" s="223"/>
      <c r="V36" s="223"/>
      <c r="W36" s="223">
        <f t="shared" si="10"/>
        <v>1.3613861386138614E-2</v>
      </c>
      <c r="X36" s="223">
        <f t="shared" si="10"/>
        <v>-3.663003663003663E-3</v>
      </c>
      <c r="Y36" s="223">
        <f t="shared" si="10"/>
        <v>9.8039215686274508E-3</v>
      </c>
      <c r="Z36" s="223">
        <f t="shared" si="10"/>
        <v>0</v>
      </c>
      <c r="AA36" s="223"/>
    </row>
    <row r="37" spans="1:27" x14ac:dyDescent="0.2">
      <c r="A37" s="44" t="s">
        <v>150</v>
      </c>
      <c r="I37" s="26"/>
      <c r="J37" s="26"/>
      <c r="K37" s="26"/>
      <c r="L37" s="26"/>
      <c r="M37" s="26">
        <v>71.569999999999993</v>
      </c>
      <c r="N37" s="215">
        <v>72.98</v>
      </c>
      <c r="O37" s="224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23">
        <f t="shared" si="10"/>
        <v>1.9700992035769329E-2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26" sqref="H26"/>
    </sheetView>
  </sheetViews>
  <sheetFormatPr defaultColWidth="11.42578125" defaultRowHeight="15" x14ac:dyDescent="0.2"/>
  <cols>
    <col min="3" max="3" width="13.28515625" customWidth="1"/>
    <col min="6" max="6" width="13.5703125" customWidth="1"/>
    <col min="7" max="7" width="13.140625" customWidth="1"/>
    <col min="8" max="8" width="20.85546875" customWidth="1"/>
    <col min="10" max="10" width="14.5703125" customWidth="1"/>
  </cols>
  <sheetData>
    <row r="1" spans="1:10" ht="23.25" x14ac:dyDescent="0.3">
      <c r="A1" s="68" t="s">
        <v>60</v>
      </c>
    </row>
    <row r="2" spans="1:10" ht="15" customHeight="1" x14ac:dyDescent="0.3">
      <c r="A2" s="68"/>
    </row>
    <row r="3" spans="1:10" ht="15" customHeight="1" x14ac:dyDescent="0.2">
      <c r="B3" s="70"/>
      <c r="C3" s="71" t="s">
        <v>61</v>
      </c>
      <c r="D3" s="71"/>
      <c r="E3" s="78"/>
      <c r="F3" s="72" t="s">
        <v>65</v>
      </c>
      <c r="G3" s="79"/>
      <c r="H3" s="73"/>
      <c r="I3" s="73" t="s">
        <v>67</v>
      </c>
      <c r="J3" s="74"/>
    </row>
    <row r="4" spans="1:10" x14ac:dyDescent="0.2">
      <c r="B4" s="75" t="s">
        <v>62</v>
      </c>
      <c r="C4" s="75" t="s">
        <v>63</v>
      </c>
      <c r="D4" s="75" t="s">
        <v>64</v>
      </c>
      <c r="E4" s="76" t="s">
        <v>118</v>
      </c>
      <c r="F4" s="76" t="s">
        <v>63</v>
      </c>
      <c r="G4" s="76" t="s">
        <v>66</v>
      </c>
      <c r="H4" s="77" t="s">
        <v>69</v>
      </c>
      <c r="I4" s="77" t="s">
        <v>68</v>
      </c>
      <c r="J4" s="77" t="s">
        <v>70</v>
      </c>
    </row>
    <row r="5" spans="1:10" x14ac:dyDescent="0.2">
      <c r="A5" s="80" t="s">
        <v>53</v>
      </c>
      <c r="B5" s="85">
        <v>122922</v>
      </c>
      <c r="C5" s="88">
        <v>1.2822</v>
      </c>
      <c r="D5" s="87">
        <v>157610.59</v>
      </c>
      <c r="E5" s="195" t="s">
        <v>160</v>
      </c>
      <c r="F5" s="195" t="s">
        <v>160</v>
      </c>
      <c r="G5" s="195" t="s">
        <v>160</v>
      </c>
      <c r="H5" s="194" t="s">
        <v>160</v>
      </c>
      <c r="I5" s="194" t="s">
        <v>160</v>
      </c>
      <c r="J5" s="194" t="s">
        <v>160</v>
      </c>
    </row>
    <row r="6" spans="1:10" x14ac:dyDescent="0.2">
      <c r="A6" s="89" t="s">
        <v>71</v>
      </c>
      <c r="B6" s="85">
        <v>87967.5</v>
      </c>
      <c r="C6" s="88">
        <v>1.3112999999999999</v>
      </c>
      <c r="D6" s="87">
        <v>115354.79</v>
      </c>
      <c r="E6" s="86">
        <v>91219.5</v>
      </c>
      <c r="F6" s="195" t="s">
        <v>119</v>
      </c>
      <c r="G6" s="160">
        <v>117535.5</v>
      </c>
      <c r="H6" s="162">
        <f>I6+J6</f>
        <v>1.9504612727799575E-2</v>
      </c>
      <c r="I6" s="162">
        <f>('Detaildarstellung Transaktionen'!E77/'Detaildarstellung Transaktionen'!E40)-100%</f>
        <v>3.6968198482394188E-2</v>
      </c>
      <c r="J6" s="162">
        <f>1.2884/1.3113-100%</f>
        <v>-1.7463585754594613E-2</v>
      </c>
    </row>
    <row r="7" spans="1:10" x14ac:dyDescent="0.2">
      <c r="A7" s="89" t="s">
        <v>153</v>
      </c>
      <c r="B7" s="185">
        <f>'Detaildarstellung Transaktionen'!F42</f>
        <v>250494.99999999997</v>
      </c>
      <c r="C7" s="88">
        <v>1.3092999999999999</v>
      </c>
      <c r="D7" s="87">
        <f>B7*C7</f>
        <v>327973.10349999991</v>
      </c>
      <c r="E7" s="186">
        <f>'Detaildarstellung Transaktionen'!F79</f>
        <v>255430</v>
      </c>
      <c r="F7" s="196">
        <v>1.3212999999999999</v>
      </c>
      <c r="G7" s="160">
        <f>E7*F7</f>
        <v>337499.65899999999</v>
      </c>
      <c r="H7" s="162">
        <f>I7+J7</f>
        <v>2.8866194815880819E-2</v>
      </c>
      <c r="I7" s="162">
        <f>('Detaildarstellung Transaktionen'!E79/'Detaildarstellung Transaktionen'!E42)-100%</f>
        <v>1.970099203576936E-2</v>
      </c>
      <c r="J7" s="162">
        <f>F7/C7-100%</f>
        <v>9.1652027801114588E-3</v>
      </c>
    </row>
    <row r="8" spans="1:10" x14ac:dyDescent="0.2">
      <c r="A8" s="81" t="s">
        <v>72</v>
      </c>
      <c r="B8" s="91">
        <f>SUM(B5:B7)</f>
        <v>461384.5</v>
      </c>
      <c r="C8" s="69"/>
      <c r="D8" s="92">
        <f>SUM(D5:D7)</f>
        <v>600938.48349999986</v>
      </c>
      <c r="E8" s="159">
        <f>SUM(E6,E7)</f>
        <v>346649.5</v>
      </c>
      <c r="F8" s="136"/>
      <c r="G8" s="161">
        <f>SUM(G6,G7)</f>
        <v>455035.15899999999</v>
      </c>
      <c r="H8" s="137"/>
      <c r="I8" s="137"/>
      <c r="J8" s="137"/>
    </row>
    <row r="11" spans="1:10" ht="23.25" x14ac:dyDescent="0.3">
      <c r="A11" s="68" t="s">
        <v>154</v>
      </c>
    </row>
    <row r="12" spans="1:10" ht="23.25" x14ac:dyDescent="0.3">
      <c r="A12" s="68"/>
    </row>
    <row r="13" spans="1:10" x14ac:dyDescent="0.2">
      <c r="B13" s="70"/>
      <c r="C13" s="71" t="s">
        <v>61</v>
      </c>
      <c r="D13" s="71"/>
      <c r="E13" s="78"/>
      <c r="F13" s="72" t="s">
        <v>65</v>
      </c>
      <c r="G13" s="79"/>
      <c r="H13" s="73"/>
      <c r="I13" s="73" t="s">
        <v>67</v>
      </c>
      <c r="J13" s="74"/>
    </row>
    <row r="14" spans="1:10" x14ac:dyDescent="0.2">
      <c r="B14" s="75" t="s">
        <v>62</v>
      </c>
      <c r="C14" s="75" t="s">
        <v>63</v>
      </c>
      <c r="D14" s="75" t="s">
        <v>64</v>
      </c>
      <c r="E14" s="76" t="s">
        <v>118</v>
      </c>
      <c r="F14" s="76" t="s">
        <v>63</v>
      </c>
      <c r="G14" s="76" t="s">
        <v>66</v>
      </c>
      <c r="H14" s="77" t="s">
        <v>69</v>
      </c>
      <c r="I14" s="77" t="s">
        <v>68</v>
      </c>
      <c r="J14" s="77" t="s">
        <v>70</v>
      </c>
    </row>
    <row r="15" spans="1:10" x14ac:dyDescent="0.2">
      <c r="A15" s="80" t="s">
        <v>155</v>
      </c>
      <c r="B15" s="85">
        <f>'Detaildarstellung Transaktionen'!F11</f>
        <v>79120</v>
      </c>
      <c r="C15" s="88">
        <v>1.3116000000000001</v>
      </c>
      <c r="D15" s="87">
        <f>B15*C15</f>
        <v>103773.792</v>
      </c>
      <c r="E15" s="86">
        <f>'Detaildarstellung Transaktionen'!F54</f>
        <v>80895.600000000006</v>
      </c>
      <c r="F15" s="193">
        <v>1.2998000000000001</v>
      </c>
      <c r="G15" s="86">
        <f>E15*F15</f>
        <v>105148.10088000001</v>
      </c>
      <c r="H15" s="162">
        <f>I15+J15</f>
        <v>1.3445215146421718E-2</v>
      </c>
      <c r="I15" s="162">
        <f>'Detaildarstellung Transaktionen'!E54/'Detaildarstellung Transaktionen'!E11-100%</f>
        <v>2.2441860465116426E-2</v>
      </c>
      <c r="J15" s="162">
        <f>F15/C15-100%</f>
        <v>-8.9966453186947071E-3</v>
      </c>
    </row>
    <row r="16" spans="1:10" x14ac:dyDescent="0.2">
      <c r="A16" s="81" t="s">
        <v>72</v>
      </c>
      <c r="B16" s="91">
        <f>B15</f>
        <v>79120</v>
      </c>
      <c r="C16" s="69"/>
      <c r="D16" s="92">
        <f>D15</f>
        <v>103773.792</v>
      </c>
      <c r="E16" s="159">
        <f>E15</f>
        <v>80895.600000000006</v>
      </c>
      <c r="F16" s="136"/>
      <c r="G16" s="161">
        <f>G15</f>
        <v>105148.10088000001</v>
      </c>
      <c r="H16" s="137"/>
      <c r="I16" s="137"/>
      <c r="J16" s="137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C10" workbookViewId="0">
      <selection activeCell="A24" sqref="A24"/>
    </sheetView>
  </sheetViews>
  <sheetFormatPr defaultColWidth="8.85546875" defaultRowHeight="15" x14ac:dyDescent="0.2"/>
  <cols>
    <col min="1" max="1" width="64.85546875" customWidth="1"/>
    <col min="15" max="15" width="19.5703125" customWidth="1"/>
  </cols>
  <sheetData>
    <row r="1" spans="1:16" x14ac:dyDescent="0.2">
      <c r="O1" t="s">
        <v>173</v>
      </c>
      <c r="P1" t="s">
        <v>174</v>
      </c>
    </row>
    <row r="2" spans="1:16" x14ac:dyDescent="0.2">
      <c r="A2" s="206" t="s">
        <v>11</v>
      </c>
      <c r="B2" s="223">
        <v>-2.4242424242424131E-2</v>
      </c>
      <c r="C2" s="156">
        <v>3.1055900621117347E-3</v>
      </c>
      <c r="D2" s="156">
        <v>-6.1919504643962904E-3</v>
      </c>
      <c r="E2" s="156">
        <v>3.1152647975078601E-3</v>
      </c>
      <c r="F2" s="156">
        <v>1.8633540372670686E-2</v>
      </c>
      <c r="G2" s="156">
        <v>1.5243902439024473E-2</v>
      </c>
      <c r="H2" s="156">
        <v>-9.0090090090090835E-3</v>
      </c>
      <c r="I2" s="223">
        <v>-5.454545454545446E-2</v>
      </c>
      <c r="J2" s="223">
        <v>9.6153846153845517E-3</v>
      </c>
      <c r="K2" s="223">
        <v>0</v>
      </c>
      <c r="L2" s="223">
        <v>-4.1269841269841234E-2</v>
      </c>
      <c r="M2" s="223">
        <v>-3.3112582781456984E-2</v>
      </c>
      <c r="O2" s="228">
        <v>0.191</v>
      </c>
      <c r="P2" s="228">
        <v>1.2999999999999999E-2</v>
      </c>
    </row>
    <row r="3" spans="1:16" x14ac:dyDescent="0.2">
      <c r="A3" s="207" t="s">
        <v>38</v>
      </c>
      <c r="B3" s="223">
        <v>3.7499999999999895E-2</v>
      </c>
      <c r="C3" s="223">
        <v>-3.6144578313252913E-2</v>
      </c>
      <c r="D3" s="223">
        <v>-3.7500000000000033E-2</v>
      </c>
      <c r="E3" s="223">
        <v>0.11688311688311684</v>
      </c>
      <c r="F3" s="223"/>
      <c r="G3" s="223"/>
      <c r="H3" s="223"/>
      <c r="I3" s="223"/>
      <c r="J3" s="223"/>
      <c r="K3" s="223"/>
      <c r="L3" s="223"/>
      <c r="M3" s="223"/>
      <c r="O3" s="228">
        <v>0.41739999999999999</v>
      </c>
      <c r="P3" s="228">
        <v>0.31850000000000001</v>
      </c>
    </row>
    <row r="4" spans="1:16" x14ac:dyDescent="0.2">
      <c r="A4" s="206" t="s">
        <v>47</v>
      </c>
      <c r="B4" s="223">
        <v>-0.04</v>
      </c>
      <c r="C4" s="223">
        <v>-9.1666666666666199E-3</v>
      </c>
      <c r="D4" s="223">
        <v>-2.9100084104289384E-2</v>
      </c>
      <c r="E4" s="223">
        <v>3.2397782397782481E-2</v>
      </c>
      <c r="F4" s="223">
        <v>4.0946467528108703E-2</v>
      </c>
      <c r="G4" s="223">
        <v>1.7733354828308904E-2</v>
      </c>
      <c r="H4" s="223"/>
      <c r="I4" s="223"/>
      <c r="J4" s="223"/>
      <c r="K4" s="223"/>
      <c r="L4" s="223"/>
      <c r="M4" s="223"/>
      <c r="O4" s="228">
        <v>0.2</v>
      </c>
      <c r="P4" s="228">
        <v>0.69299999999999995</v>
      </c>
    </row>
    <row r="5" spans="1:16" x14ac:dyDescent="0.2">
      <c r="A5" s="206" t="s">
        <v>76</v>
      </c>
      <c r="B5" s="223"/>
      <c r="C5" s="223"/>
      <c r="D5" s="223">
        <v>8.6619557784363473E-3</v>
      </c>
      <c r="E5" s="223">
        <v>4.7118644067796631E-2</v>
      </c>
      <c r="F5" s="223">
        <v>2.1366137908708362E-2</v>
      </c>
      <c r="G5" s="223">
        <v>-5.0713153724247645E-3</v>
      </c>
      <c r="H5" s="223"/>
      <c r="I5" s="223"/>
      <c r="J5" s="223"/>
      <c r="K5" s="223"/>
      <c r="L5" s="223"/>
      <c r="M5" s="223"/>
      <c r="O5" s="228">
        <v>0.24199999999999999</v>
      </c>
      <c r="P5" s="228">
        <v>0.53800000000000003</v>
      </c>
    </row>
    <row r="6" spans="1:16" x14ac:dyDescent="0.2">
      <c r="A6" s="206" t="s">
        <v>79</v>
      </c>
      <c r="B6" s="223"/>
      <c r="C6" s="223"/>
      <c r="D6" s="223">
        <v>-3.8944723618090385E-2</v>
      </c>
      <c r="E6" s="223">
        <v>6.9542483660130633E-2</v>
      </c>
      <c r="F6" s="223">
        <v>2.3588364703006685E-2</v>
      </c>
      <c r="G6" s="223">
        <v>-1.731343283582093E-2</v>
      </c>
      <c r="H6" s="223">
        <v>4.7995139732685335E-2</v>
      </c>
      <c r="I6" s="223"/>
      <c r="J6" s="223"/>
      <c r="K6" s="223"/>
      <c r="L6" s="223"/>
      <c r="M6" s="223"/>
      <c r="O6" s="228">
        <v>0.42120000000000002</v>
      </c>
      <c r="P6" s="228">
        <v>0.27879999999999999</v>
      </c>
    </row>
    <row r="7" spans="1:16" x14ac:dyDescent="0.2">
      <c r="A7" s="206" t="s">
        <v>89</v>
      </c>
      <c r="B7" s="223"/>
      <c r="C7" s="223"/>
      <c r="D7" s="223"/>
      <c r="E7" s="223"/>
      <c r="F7" s="223">
        <v>2.7468448403860372E-2</v>
      </c>
      <c r="G7" s="223">
        <v>3.2514450867051972E-3</v>
      </c>
      <c r="H7" s="223">
        <v>-2.9888368743248048E-2</v>
      </c>
      <c r="I7" s="223"/>
      <c r="J7" s="223"/>
      <c r="K7" s="223"/>
      <c r="L7" s="223"/>
      <c r="M7" s="223"/>
      <c r="O7" s="228">
        <v>0.13600000000000001</v>
      </c>
      <c r="P7" s="228">
        <v>0.68400000000000005</v>
      </c>
    </row>
    <row r="8" spans="1:16" x14ac:dyDescent="0.2">
      <c r="A8" s="206" t="s">
        <v>98</v>
      </c>
      <c r="B8" s="223"/>
      <c r="C8" s="223"/>
      <c r="D8" s="223"/>
      <c r="E8" s="223"/>
      <c r="F8" s="223"/>
      <c r="G8" s="223">
        <v>1.3052325581395375E-2</v>
      </c>
      <c r="H8" s="223">
        <v>-1.2884157364630288E-2</v>
      </c>
      <c r="I8" s="223">
        <v>-2.8779069767442124E-3</v>
      </c>
      <c r="J8" s="223">
        <v>4.9269700591819416E-3</v>
      </c>
      <c r="K8" s="223">
        <v>2.036553524804189E-2</v>
      </c>
      <c r="L8" s="223"/>
      <c r="M8" s="223"/>
      <c r="O8" s="228">
        <v>9.6000000000000002E-2</v>
      </c>
      <c r="P8" s="228">
        <v>0.11269999999999999</v>
      </c>
    </row>
    <row r="9" spans="1:16" x14ac:dyDescent="0.2">
      <c r="A9" s="206" t="s">
        <v>105</v>
      </c>
      <c r="B9" s="223"/>
      <c r="C9" s="223"/>
      <c r="D9" s="223"/>
      <c r="E9" s="223"/>
      <c r="F9" s="223"/>
      <c r="G9" s="223"/>
      <c r="H9" s="223">
        <v>0</v>
      </c>
      <c r="I9" s="223">
        <v>-3.4644864588656114E-2</v>
      </c>
      <c r="J9" s="223">
        <v>2.7524878255346724E-3</v>
      </c>
      <c r="K9" s="223">
        <v>-3.5367398648648588E-2</v>
      </c>
      <c r="L9" s="223">
        <v>9.9595053080879566E-3</v>
      </c>
      <c r="M9" s="223">
        <v>-6.0684872128305405E-3</v>
      </c>
      <c r="O9" s="228">
        <v>0.18</v>
      </c>
      <c r="P9" s="228">
        <v>0.32300000000000001</v>
      </c>
    </row>
    <row r="10" spans="1:16" x14ac:dyDescent="0.2">
      <c r="A10" s="206" t="s">
        <v>111</v>
      </c>
      <c r="B10" s="223"/>
      <c r="C10" s="223"/>
      <c r="D10" s="223"/>
      <c r="E10" s="223"/>
      <c r="F10" s="223"/>
      <c r="G10" s="223"/>
      <c r="H10" s="223">
        <v>0</v>
      </c>
      <c r="I10" s="223">
        <v>7.2148889071082679E-3</v>
      </c>
      <c r="J10" s="223">
        <v>1.6280016280016511E-3</v>
      </c>
      <c r="K10" s="223">
        <v>-4.6322633075984816E-3</v>
      </c>
      <c r="L10" s="223"/>
      <c r="M10" s="223"/>
      <c r="O10" s="228">
        <v>0.221</v>
      </c>
      <c r="P10" s="228">
        <v>0.53900000000000003</v>
      </c>
    </row>
    <row r="11" spans="1:16" x14ac:dyDescent="0.2">
      <c r="A11" s="206" t="s">
        <v>124</v>
      </c>
      <c r="B11" s="223"/>
      <c r="C11" s="223"/>
      <c r="D11" s="223"/>
      <c r="E11" s="223"/>
      <c r="F11" s="223"/>
      <c r="G11" s="223"/>
      <c r="H11" s="223"/>
      <c r="I11" s="223">
        <v>-1.7857142857142794E-2</v>
      </c>
      <c r="J11" s="223">
        <v>1.8181818181818118E-2</v>
      </c>
      <c r="K11" s="223">
        <v>0</v>
      </c>
      <c r="L11" s="223">
        <v>-2.4999999999999946E-2</v>
      </c>
      <c r="M11" s="223">
        <v>1.0989010989010917E-2</v>
      </c>
      <c r="O11" s="228">
        <v>0.22</v>
      </c>
      <c r="P11">
        <v>0.39700000000000002</v>
      </c>
    </row>
    <row r="12" spans="1:16" x14ac:dyDescent="0.2">
      <c r="A12" s="208" t="s">
        <v>129</v>
      </c>
      <c r="B12" s="223"/>
      <c r="C12" s="223"/>
      <c r="D12" s="223"/>
      <c r="E12" s="223"/>
      <c r="F12" s="223"/>
      <c r="G12" s="223"/>
      <c r="H12" s="223"/>
      <c r="I12" s="223"/>
      <c r="J12" s="223">
        <v>1.5377336172225627E-3</v>
      </c>
      <c r="K12" s="223">
        <v>-2.0668477618991377E-2</v>
      </c>
      <c r="L12" s="223">
        <v>-2.2190062711046833E-2</v>
      </c>
      <c r="M12" s="223">
        <v>2.7010360138135146E-2</v>
      </c>
      <c r="O12" s="228">
        <v>0.218</v>
      </c>
      <c r="P12" s="228">
        <v>0.78900000000000003</v>
      </c>
    </row>
    <row r="13" spans="1:16" x14ac:dyDescent="0.2">
      <c r="A13" s="208" t="s">
        <v>135</v>
      </c>
      <c r="B13" s="223"/>
      <c r="C13" s="223"/>
      <c r="D13" s="223"/>
      <c r="E13" s="223"/>
      <c r="F13" s="223"/>
      <c r="G13" s="223"/>
      <c r="H13" s="223"/>
      <c r="I13" s="223"/>
      <c r="J13" s="223">
        <v>8.0000000000000002E-3</v>
      </c>
      <c r="K13" s="223">
        <v>4.1269841269841234E-2</v>
      </c>
      <c r="L13" s="223"/>
      <c r="M13" s="223"/>
      <c r="O13" s="228">
        <v>0.39100000000000001</v>
      </c>
      <c r="P13" s="228">
        <v>0.56599999999999995</v>
      </c>
    </row>
    <row r="14" spans="1:16" x14ac:dyDescent="0.2">
      <c r="A14" s="208" t="s">
        <v>141</v>
      </c>
      <c r="B14" s="223"/>
      <c r="C14" s="223"/>
      <c r="D14" s="223"/>
      <c r="E14" s="223"/>
      <c r="F14" s="223"/>
      <c r="G14" s="223"/>
      <c r="H14" s="223"/>
      <c r="I14" s="223"/>
      <c r="J14" s="223">
        <v>0.15200000000000002</v>
      </c>
      <c r="K14" s="223">
        <v>-4.72222222222222E-2</v>
      </c>
      <c r="L14" s="223">
        <v>-1.1661807580174937E-2</v>
      </c>
      <c r="M14" s="223">
        <v>2.064896755162237E-2</v>
      </c>
      <c r="O14" s="228">
        <v>0.39200000000000002</v>
      </c>
      <c r="P14" s="228">
        <v>0.53769999999999996</v>
      </c>
    </row>
    <row r="15" spans="1:16" x14ac:dyDescent="0.2">
      <c r="A15" s="208" t="s">
        <v>144</v>
      </c>
      <c r="B15" s="223"/>
      <c r="C15" s="223"/>
      <c r="D15" s="223"/>
      <c r="E15" s="223"/>
      <c r="F15" s="223"/>
      <c r="G15" s="223"/>
      <c r="H15" s="223"/>
      <c r="I15" s="223"/>
      <c r="J15" s="223"/>
      <c r="K15" s="223">
        <v>-2.5206611570247912E-2</v>
      </c>
      <c r="L15" s="223">
        <v>1.5091140313692252E-2</v>
      </c>
      <c r="M15" s="223"/>
      <c r="O15" s="228">
        <v>0.26500000000000001</v>
      </c>
      <c r="P15" s="228">
        <v>0.63100000000000001</v>
      </c>
    </row>
    <row r="16" spans="1:16" x14ac:dyDescent="0.2">
      <c r="A16" s="208" t="s">
        <v>156</v>
      </c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>
        <v>-3.6809815950920189E-3</v>
      </c>
      <c r="M16" s="223">
        <v>2.914614121510677E-2</v>
      </c>
      <c r="O16" s="228">
        <v>0.25</v>
      </c>
      <c r="P16">
        <v>0.35499999999999998</v>
      </c>
    </row>
    <row r="17" spans="1:16" x14ac:dyDescent="0.2">
      <c r="A17" s="210" t="s">
        <v>43</v>
      </c>
      <c r="B17" s="223">
        <v>0</v>
      </c>
      <c r="C17" s="223">
        <v>3.8535645472060833E-3</v>
      </c>
      <c r="D17" s="223">
        <v>-1.9193857965450647E-3</v>
      </c>
      <c r="E17" s="223">
        <v>5.7692307692308173E-3</v>
      </c>
      <c r="F17" s="223">
        <v>5.7361376673038924E-3</v>
      </c>
      <c r="G17" s="223">
        <v>1.1406844106463974E-2</v>
      </c>
      <c r="H17" s="223"/>
      <c r="I17" s="223"/>
      <c r="J17" s="223"/>
      <c r="K17" s="223"/>
      <c r="L17" s="223"/>
      <c r="M17" s="223"/>
      <c r="O17" s="228"/>
      <c r="P17" s="228"/>
    </row>
    <row r="18" spans="1:16" x14ac:dyDescent="0.2">
      <c r="A18" s="211" t="s">
        <v>49</v>
      </c>
      <c r="B18" s="223">
        <v>-4.8567265662959394E-4</v>
      </c>
      <c r="C18" s="223">
        <v>-4.8590864917390182E-4</v>
      </c>
      <c r="D18" s="223">
        <v>-9.7228974234311123E-4</v>
      </c>
      <c r="E18" s="223">
        <v>0</v>
      </c>
      <c r="F18" s="223">
        <v>-1.4598540145985953E-3</v>
      </c>
      <c r="G18" s="223">
        <v>-9.7465886939582052E-4</v>
      </c>
      <c r="H18" s="223">
        <v>1.463414634146397E-3</v>
      </c>
      <c r="I18" s="223">
        <v>-2.9225523623966037E-3</v>
      </c>
      <c r="J18" s="223">
        <v>2.1694636533955186E-16</v>
      </c>
      <c r="K18" s="223">
        <v>-8.7933561309245026E-4</v>
      </c>
      <c r="L18" s="223">
        <v>1.6624291022883189E-3</v>
      </c>
      <c r="M18" s="223">
        <v>-2.6359465000487404E-3</v>
      </c>
      <c r="O18" s="228"/>
      <c r="P18" s="228"/>
    </row>
    <row r="19" spans="1:16" x14ac:dyDescent="0.2">
      <c r="A19" s="210" t="s">
        <v>51</v>
      </c>
      <c r="B19" s="223">
        <v>-6.8552774755169712E-3</v>
      </c>
      <c r="C19" s="223">
        <v>3.0239947408787174E-2</v>
      </c>
      <c r="D19" s="223">
        <v>-4.3709454429437404E-2</v>
      </c>
      <c r="E19" s="223">
        <v>6.5947508896797069E-2</v>
      </c>
      <c r="F19" s="223"/>
      <c r="G19" s="223"/>
      <c r="H19" s="223"/>
      <c r="I19" s="223"/>
      <c r="J19" s="223"/>
      <c r="K19" s="223"/>
      <c r="L19" s="223"/>
      <c r="M19" s="223"/>
      <c r="O19" s="228"/>
      <c r="P19" s="228"/>
    </row>
    <row r="20" spans="1:16" x14ac:dyDescent="0.2">
      <c r="A20" s="212" t="s">
        <v>90</v>
      </c>
      <c r="B20" s="223"/>
      <c r="C20" s="223"/>
      <c r="D20" s="223"/>
      <c r="E20" s="223"/>
      <c r="F20" s="223">
        <v>0</v>
      </c>
      <c r="G20" s="223">
        <v>-0.17741935483870966</v>
      </c>
      <c r="H20" s="223"/>
      <c r="I20" s="223"/>
      <c r="J20" s="223"/>
      <c r="K20" s="223"/>
      <c r="L20" s="223"/>
      <c r="M20" s="223"/>
      <c r="O20" s="228"/>
      <c r="P20" s="228"/>
    </row>
    <row r="21" spans="1:16" x14ac:dyDescent="0.2">
      <c r="A21" s="212" t="s">
        <v>107</v>
      </c>
      <c r="B21" s="223"/>
      <c r="C21" s="223"/>
      <c r="D21" s="223"/>
      <c r="E21" s="223"/>
      <c r="F21" s="223"/>
      <c r="G21" s="223"/>
      <c r="H21" s="223">
        <v>9.4623655913978009E-3</v>
      </c>
      <c r="I21" s="223">
        <v>-3.6216446527480742E-3</v>
      </c>
      <c r="J21" s="223">
        <v>1.3363267051528757E-2</v>
      </c>
      <c r="K21" s="223">
        <v>-2.6163097373140667E-2</v>
      </c>
      <c r="L21" s="223">
        <v>-2.8382623767739187E-2</v>
      </c>
      <c r="M21" s="223">
        <v>-8.6966216969561957E-3</v>
      </c>
      <c r="O21" s="228"/>
      <c r="P21" s="228"/>
    </row>
    <row r="22" spans="1:16" x14ac:dyDescent="0.2">
      <c r="A22" s="213" t="s">
        <v>113</v>
      </c>
      <c r="B22" s="223"/>
      <c r="C22" s="223"/>
      <c r="D22" s="223"/>
      <c r="E22" s="223"/>
      <c r="F22" s="223"/>
      <c r="G22" s="223"/>
      <c r="H22" s="223">
        <v>2.3598820058996547E-3</v>
      </c>
      <c r="I22" s="223">
        <v>5.8858151854040985E-4</v>
      </c>
      <c r="J22" s="223">
        <v>1.4117647058823438E-2</v>
      </c>
      <c r="K22" s="223">
        <v>4.1183294663573136E-2</v>
      </c>
      <c r="L22" s="223"/>
      <c r="M22" s="223"/>
      <c r="O22" s="228"/>
      <c r="P22" s="228"/>
    </row>
    <row r="23" spans="1:16" x14ac:dyDescent="0.2">
      <c r="A23" s="213" t="s">
        <v>138</v>
      </c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3">
        <v>8.9285714285714163E-2</v>
      </c>
      <c r="M23" s="223"/>
      <c r="O23" s="228"/>
      <c r="P23" s="228"/>
    </row>
    <row r="24" spans="1:16" x14ac:dyDescent="0.2">
      <c r="A24" s="210" t="s">
        <v>53</v>
      </c>
      <c r="B24" s="223">
        <v>-1.173101641691485E-2</v>
      </c>
      <c r="C24" s="223">
        <v>-7.1600263417846574E-2</v>
      </c>
      <c r="D24" s="223">
        <v>-4.8057314110407735E-2</v>
      </c>
      <c r="E24" s="223">
        <v>4.3600156479946514E-2</v>
      </c>
      <c r="F24" s="154">
        <v>7.1401158483792339E-4</v>
      </c>
      <c r="G24" s="223">
        <v>-3.6031857870374175E-3</v>
      </c>
      <c r="H24" s="223">
        <v>-3.9035437123497461E-2</v>
      </c>
      <c r="I24" s="223">
        <v>-1.3692505449058546E-3</v>
      </c>
      <c r="J24" s="223">
        <v>5.9602093068809175E-3</v>
      </c>
      <c r="K24" s="223">
        <v>-9.2628650904033466E-3</v>
      </c>
      <c r="L24" s="223">
        <v>2.7514950725777529E-3</v>
      </c>
      <c r="M24" s="223">
        <v>-2.3164870035932553E-2</v>
      </c>
      <c r="O24" s="228"/>
      <c r="P24" s="228"/>
    </row>
    <row r="25" spans="1:16" x14ac:dyDescent="0.2">
      <c r="A25" s="209" t="s">
        <v>71</v>
      </c>
      <c r="B25" s="223"/>
      <c r="C25" s="223"/>
      <c r="D25" s="223">
        <v>3.229601841589233E-2</v>
      </c>
      <c r="E25" s="223">
        <v>6.8055303192982482E-3</v>
      </c>
      <c r="F25" s="223">
        <v>1.445970260263712E-2</v>
      </c>
      <c r="G25" s="223">
        <v>-1.4550100540709559E-2</v>
      </c>
      <c r="H25" s="223">
        <v>-1.9639164542281195E-3</v>
      </c>
      <c r="I25" s="223"/>
      <c r="J25" s="223"/>
      <c r="K25" s="223"/>
      <c r="L25" s="223"/>
      <c r="M25" s="223"/>
      <c r="O25" s="228"/>
      <c r="P25" s="228"/>
    </row>
    <row r="26" spans="1:16" x14ac:dyDescent="0.2">
      <c r="A26" s="209" t="s">
        <v>121</v>
      </c>
      <c r="B26" s="223"/>
      <c r="C26" s="223"/>
      <c r="D26" s="223"/>
      <c r="E26" s="223"/>
      <c r="F26" s="223"/>
      <c r="G26" s="223"/>
      <c r="H26" s="223"/>
      <c r="I26" s="223">
        <v>1.3613861386138614E-2</v>
      </c>
      <c r="J26" s="223">
        <v>-3.663003663003663E-3</v>
      </c>
      <c r="K26" s="223">
        <v>9.8039215686274508E-3</v>
      </c>
      <c r="L26" s="223">
        <v>0</v>
      </c>
      <c r="M26" s="223"/>
      <c r="O26" s="228"/>
      <c r="P26" s="228"/>
    </row>
    <row r="27" spans="1:16" x14ac:dyDescent="0.2">
      <c r="A27" s="214" t="s">
        <v>150</v>
      </c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>
        <v>1.9700992035769329E-2</v>
      </c>
      <c r="O27" s="228"/>
      <c r="P27" s="228"/>
    </row>
    <row r="28" spans="1:16" ht="15.75" thickBot="1" x14ac:dyDescent="0.25">
      <c r="O28" s="228"/>
      <c r="P28" s="228"/>
    </row>
    <row r="29" spans="1:16" ht="15.75" thickBot="1" x14ac:dyDescent="0.25">
      <c r="B29" s="226">
        <v>1.9099999999999999E-2</v>
      </c>
      <c r="C29" s="226">
        <v>5.0000000000000001E-4</v>
      </c>
      <c r="D29" s="226">
        <v>-4.1000000000000003E-3</v>
      </c>
      <c r="E29" s="226">
        <v>2.3999999999999998E-3</v>
      </c>
      <c r="F29" s="226">
        <v>7.4999999999999997E-3</v>
      </c>
      <c r="G29" s="226">
        <v>-1.2999999999999999E-3</v>
      </c>
      <c r="H29" s="226">
        <v>1E-4</v>
      </c>
      <c r="I29" s="226">
        <v>1.9E-3</v>
      </c>
      <c r="J29" s="226">
        <v>-5.5999999999999999E-3</v>
      </c>
      <c r="K29" s="226">
        <v>9.4000000000000004E-3</v>
      </c>
      <c r="L29" s="227">
        <v>-7.6E-3</v>
      </c>
      <c r="M29" s="226">
        <v>-1.2E-2</v>
      </c>
      <c r="N29" s="226">
        <v>6.4000000000000003E-3</v>
      </c>
      <c r="O29" s="228"/>
      <c r="P29" s="228"/>
    </row>
  </sheetData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Detaildarstellung Tagesgeld</vt:lpstr>
      <vt:lpstr>Detaildarstellung Transaktionen</vt:lpstr>
      <vt:lpstr>Detaildarstellung Einzelpapiere</vt:lpstr>
      <vt:lpstr>Kurs- und Währungseffekte</vt:lpstr>
      <vt:lpstr>Risikoberechnung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2013-06-17T00:10:38Z</dcterms:modified>
</cp:coreProperties>
</file>