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dSpider\Private\GitHub\SAX\371\UAT\MasterData\"/>
    </mc:Choice>
  </mc:AlternateContent>
  <bookViews>
    <workbookView xWindow="0" yWindow="0" windowWidth="21600" windowHeight="9045" firstSheet="1" activeTab="8"/>
  </bookViews>
  <sheets>
    <sheet name="All products" sheetId="1" r:id="rId1"/>
    <sheet name="Product list 121317" sheetId="14" r:id="rId2"/>
    <sheet name="Raw materials" sheetId="2" r:id="rId3"/>
    <sheet name="BOMs setting" sheetId="3" r:id="rId4"/>
    <sheet name="Capacity of production" sheetId="13" r:id="rId5"/>
    <sheet name="Sheet2" sheetId="9" r:id="rId6"/>
    <sheet name="Sheet1" sheetId="7" r:id="rId7"/>
    <sheet name="Full Item list" sheetId="4" r:id="rId8"/>
    <sheet name="Cost Price New" sheetId="8" r:id="rId9"/>
    <sheet name="Sheet3" sheetId="15" r:id="rId10"/>
    <sheet name="Products price validation" sheetId="11" r:id="rId11"/>
    <sheet name="Original cost price list" sheetId="12" r:id="rId12"/>
  </sheets>
  <externalReferences>
    <externalReference r:id="rId13"/>
    <externalReference r:id="rId14"/>
  </externalReferences>
  <definedNames>
    <definedName name="_xlnm._FilterDatabase" localSheetId="0" hidden="1">'All products'!$X$1:$Y$64</definedName>
    <definedName name="_xlnm._FilterDatabase" localSheetId="3" hidden="1">'BOMs setting'!$A$1:$AB$565</definedName>
    <definedName name="_xlnm._FilterDatabase" localSheetId="10" hidden="1">'Products price validation'!$A$1:$N$41</definedName>
    <definedName name="_xlnm._FilterDatabase" localSheetId="9" hidden="1">Sheet3!$A$1:$EY$174</definedName>
    <definedName name="DataAreaId">[1]Parameter!$C$2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G141" i="15"/>
  <c r="G102" i="15"/>
  <c r="G101" i="15"/>
  <c r="G57" i="15"/>
  <c r="G56" i="15"/>
  <c r="G9" i="15"/>
  <c r="G2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G163" i="15" s="1"/>
  <c r="F162" i="15"/>
  <c r="F161" i="15"/>
  <c r="F160" i="15"/>
  <c r="F159" i="15"/>
  <c r="F158" i="15"/>
  <c r="G158" i="15" s="1"/>
  <c r="F157" i="15"/>
  <c r="F156" i="15"/>
  <c r="F155" i="15"/>
  <c r="F154" i="15"/>
  <c r="F153" i="15"/>
  <c r="G153" i="15" s="1"/>
  <c r="F152" i="15"/>
  <c r="G152" i="15" s="1"/>
  <c r="F151" i="15"/>
  <c r="F150" i="15"/>
  <c r="G150" i="15" s="1"/>
  <c r="F149" i="15"/>
  <c r="G149" i="15" s="1"/>
  <c r="F148" i="15"/>
  <c r="G148" i="15" s="1"/>
  <c r="F147" i="15"/>
  <c r="F146" i="15"/>
  <c r="F145" i="15"/>
  <c r="F144" i="15"/>
  <c r="F143" i="15"/>
  <c r="F142" i="15"/>
  <c r="F141" i="15"/>
  <c r="F140" i="15"/>
  <c r="G140" i="15" s="1"/>
  <c r="F139" i="15"/>
  <c r="F138" i="15"/>
  <c r="F137" i="15"/>
  <c r="F136" i="15"/>
  <c r="G136" i="15" s="1"/>
  <c r="F135" i="15"/>
  <c r="F134" i="15"/>
  <c r="F133" i="15"/>
  <c r="F132" i="15"/>
  <c r="F131" i="15"/>
  <c r="F130" i="15"/>
  <c r="F129" i="15"/>
  <c r="G129" i="15" s="1"/>
  <c r="F128" i="15"/>
  <c r="G128" i="15" s="1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G106" i="15" s="1"/>
  <c r="F105" i="15"/>
  <c r="G105" i="15" s="1"/>
  <c r="F104" i="15"/>
  <c r="F103" i="15"/>
  <c r="F102" i="15"/>
  <c r="F101" i="15"/>
  <c r="F100" i="15"/>
  <c r="G100" i="15" s="1"/>
  <c r="F99" i="15"/>
  <c r="G99" i="15" s="1"/>
  <c r="F98" i="15"/>
  <c r="G98" i="15" s="1"/>
  <c r="F97" i="15"/>
  <c r="G97" i="15" s="1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G62" i="15" s="1"/>
  <c r="F61" i="15"/>
  <c r="G61" i="15" s="1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G42" i="15" s="1"/>
  <c r="F41" i="15"/>
  <c r="G41" i="15" s="1"/>
  <c r="F40" i="15"/>
  <c r="G40" i="15" s="1"/>
  <c r="F39" i="15"/>
  <c r="G39" i="15" s="1"/>
  <c r="F38" i="15"/>
  <c r="G38" i="15" s="1"/>
  <c r="F37" i="15"/>
  <c r="G37" i="15" s="1"/>
  <c r="F36" i="15"/>
  <c r="G36" i="15" s="1"/>
  <c r="F35" i="15"/>
  <c r="G35" i="15" s="1"/>
  <c r="F34" i="15"/>
  <c r="G34" i="15" s="1"/>
  <c r="F33" i="15"/>
  <c r="G33" i="15" s="1"/>
  <c r="F32" i="15"/>
  <c r="G32" i="15" s="1"/>
  <c r="F31" i="15"/>
  <c r="F30" i="15"/>
  <c r="F29" i="15"/>
  <c r="F28" i="15"/>
  <c r="F27" i="15"/>
  <c r="G27" i="15" s="1"/>
  <c r="F26" i="15"/>
  <c r="F25" i="15"/>
  <c r="F24" i="15"/>
  <c r="F23" i="15"/>
  <c r="F22" i="15"/>
  <c r="G22" i="15" s="1"/>
  <c r="F21" i="15"/>
  <c r="G21" i="15" s="1"/>
  <c r="F20" i="15"/>
  <c r="G20" i="15" s="1"/>
  <c r="F19" i="15"/>
  <c r="G19" i="15" s="1"/>
  <c r="F18" i="15"/>
  <c r="G18" i="15" s="1"/>
  <c r="F17" i="15"/>
  <c r="F16" i="15"/>
  <c r="F15" i="15"/>
  <c r="F14" i="15"/>
  <c r="G14" i="15" s="1"/>
  <c r="F13" i="15"/>
  <c r="G13" i="15" s="1"/>
  <c r="F12" i="15"/>
  <c r="F11" i="15"/>
  <c r="F10" i="15"/>
  <c r="F9" i="15"/>
  <c r="F8" i="15"/>
  <c r="G8" i="15" s="1"/>
  <c r="F7" i="15"/>
  <c r="F6" i="15"/>
  <c r="F5" i="15"/>
  <c r="F4" i="15"/>
  <c r="G4" i="15" s="1"/>
  <c r="F3" i="15"/>
  <c r="G3" i="15" s="1"/>
  <c r="F2" i="15"/>
  <c r="S499" i="3" l="1"/>
  <c r="S500" i="3"/>
  <c r="S501" i="3"/>
  <c r="S502" i="3"/>
  <c r="S503" i="3"/>
  <c r="S504" i="3"/>
  <c r="S505" i="3"/>
  <c r="S506" i="3"/>
  <c r="S498" i="3"/>
  <c r="AD64" i="1" l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Q341" i="3" l="1"/>
  <c r="Q296" i="3"/>
  <c r="AA564" i="3" l="1"/>
  <c r="AA563" i="3"/>
  <c r="AA562" i="3"/>
  <c r="AA561" i="3"/>
  <c r="AA559" i="3"/>
  <c r="AA558" i="3"/>
  <c r="AA557" i="3"/>
  <c r="AA556" i="3"/>
  <c r="AA555" i="3"/>
  <c r="AA554" i="3"/>
  <c r="AA553" i="3"/>
  <c r="AA552" i="3"/>
  <c r="AA550" i="3"/>
  <c r="AA549" i="3"/>
  <c r="AA548" i="3"/>
  <c r="AA547" i="3"/>
  <c r="AA546" i="3"/>
  <c r="AA545" i="3"/>
  <c r="AA543" i="3"/>
  <c r="AA542" i="3"/>
  <c r="AA541" i="3"/>
  <c r="AA540" i="3"/>
  <c r="AA539" i="3"/>
  <c r="AA538" i="3"/>
  <c r="AA537" i="3"/>
  <c r="AA536" i="3"/>
  <c r="AA535" i="3"/>
  <c r="AA534" i="3"/>
  <c r="AA532" i="3"/>
  <c r="AA531" i="3"/>
  <c r="AA530" i="3"/>
  <c r="AA529" i="3"/>
  <c r="AA528" i="3"/>
  <c r="AA527" i="3"/>
  <c r="AA525" i="3"/>
  <c r="AA524" i="3"/>
  <c r="AA523" i="3"/>
  <c r="AA522" i="3"/>
  <c r="AA521" i="3"/>
  <c r="AA520" i="3"/>
  <c r="AA519" i="3"/>
  <c r="AA518" i="3"/>
  <c r="AA517" i="3"/>
  <c r="AA516" i="3"/>
  <c r="AA515" i="3"/>
  <c r="AA513" i="3"/>
  <c r="AA512" i="3"/>
  <c r="AA511" i="3"/>
  <c r="AA510" i="3"/>
  <c r="AA508" i="3"/>
  <c r="AA507" i="3"/>
  <c r="AA506" i="3"/>
  <c r="AA505" i="3"/>
  <c r="AA504" i="3"/>
  <c r="AA503" i="3"/>
  <c r="AA502" i="3"/>
  <c r="AA501" i="3"/>
  <c r="AA500" i="3"/>
  <c r="AA499" i="3"/>
  <c r="AA498" i="3"/>
  <c r="AA497" i="3"/>
  <c r="AA495" i="3"/>
  <c r="AA494" i="3"/>
  <c r="AA493" i="3"/>
  <c r="AA492" i="3"/>
  <c r="AA490" i="3"/>
  <c r="AA489" i="3"/>
  <c r="AA488" i="3"/>
  <c r="AA487" i="3"/>
  <c r="AA486" i="3"/>
  <c r="AA485" i="3"/>
  <c r="AA484" i="3"/>
  <c r="AA483" i="3"/>
  <c r="AA482" i="3"/>
  <c r="AA481" i="3"/>
  <c r="AA480" i="3"/>
  <c r="AA479" i="3"/>
  <c r="AA477" i="3"/>
  <c r="AA476" i="3"/>
  <c r="AA475" i="3"/>
  <c r="AA474" i="3"/>
  <c r="AA472" i="3"/>
  <c r="AA471" i="3"/>
  <c r="AA470" i="3"/>
  <c r="AA469" i="3"/>
  <c r="AA468" i="3"/>
  <c r="AA467" i="3"/>
  <c r="AA466" i="3"/>
  <c r="AA465" i="3"/>
  <c r="AA464" i="3"/>
  <c r="AA463" i="3"/>
  <c r="AA462" i="3"/>
  <c r="AA460" i="3"/>
  <c r="AA459" i="3"/>
  <c r="AA458" i="3"/>
  <c r="AA457" i="3"/>
  <c r="AA455" i="3"/>
  <c r="AA454" i="3"/>
  <c r="AA453" i="3"/>
  <c r="AA452" i="3"/>
  <c r="AA451" i="3"/>
  <c r="AA450" i="3"/>
  <c r="AA449" i="3"/>
  <c r="AA448" i="3"/>
  <c r="AA447" i="3"/>
  <c r="AA446" i="3"/>
  <c r="AA444" i="3"/>
  <c r="AA443" i="3"/>
  <c r="AA442" i="3"/>
  <c r="AA441" i="3"/>
  <c r="AA439" i="3"/>
  <c r="AA438" i="3"/>
  <c r="AA437" i="3"/>
  <c r="AA436" i="3"/>
  <c r="AA435" i="3"/>
  <c r="AA434" i="3"/>
  <c r="AA433" i="3"/>
  <c r="AA432" i="3"/>
  <c r="AA430" i="3"/>
  <c r="AA429" i="3"/>
  <c r="AA428" i="3"/>
  <c r="AA427" i="3"/>
  <c r="AA425" i="3"/>
  <c r="AA424" i="3"/>
  <c r="AA423" i="3"/>
  <c r="AA422" i="3"/>
  <c r="AA421" i="3"/>
  <c r="AA420" i="3"/>
  <c r="AA419" i="3"/>
  <c r="AA418" i="3"/>
  <c r="AA417" i="3"/>
  <c r="AA416" i="3"/>
  <c r="AA415" i="3"/>
  <c r="AA414" i="3"/>
  <c r="AA412" i="3"/>
  <c r="AA411" i="3"/>
  <c r="AA410" i="3"/>
  <c r="AA409" i="3"/>
  <c r="AA407" i="3"/>
  <c r="AA406" i="3"/>
  <c r="AA405" i="3"/>
  <c r="AA404" i="3"/>
  <c r="AA403" i="3"/>
  <c r="AA402" i="3"/>
  <c r="AA401" i="3"/>
  <c r="AA400" i="3"/>
  <c r="AA399" i="3"/>
  <c r="AA398" i="3"/>
  <c r="AA397" i="3"/>
  <c r="AA395" i="3"/>
  <c r="AA394" i="3"/>
  <c r="AA393" i="3"/>
  <c r="AA392" i="3"/>
  <c r="AA390" i="3"/>
  <c r="AA389" i="3"/>
  <c r="AA388" i="3"/>
  <c r="AA387" i="3"/>
  <c r="AA386" i="3"/>
  <c r="AA385" i="3"/>
  <c r="AA384" i="3"/>
  <c r="AA383" i="3"/>
  <c r="AA382" i="3"/>
  <c r="AA381" i="3"/>
  <c r="AA380" i="3"/>
  <c r="AA379" i="3"/>
  <c r="AA377" i="3"/>
  <c r="AA376" i="3"/>
  <c r="AA375" i="3"/>
  <c r="AA374" i="3"/>
  <c r="AA372" i="3"/>
  <c r="AA371" i="3"/>
  <c r="AA370" i="3"/>
  <c r="AA369" i="3"/>
  <c r="AA368" i="3"/>
  <c r="AA367" i="3"/>
  <c r="AA366" i="3"/>
  <c r="AA365" i="3"/>
  <c r="AA364" i="3"/>
  <c r="AA363" i="3"/>
  <c r="AA362" i="3"/>
  <c r="AA361" i="3"/>
  <c r="AA360" i="3"/>
  <c r="AA358" i="3"/>
  <c r="AA357" i="3"/>
  <c r="AA356" i="3"/>
  <c r="AA355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340" i="3"/>
  <c r="AA339" i="3"/>
  <c r="AA338" i="3"/>
  <c r="AA337" i="3"/>
  <c r="AA335" i="3"/>
  <c r="AA334" i="3"/>
  <c r="AA333" i="3"/>
  <c r="AA332" i="3"/>
  <c r="AA331" i="3"/>
  <c r="AA330" i="3"/>
  <c r="AA329" i="3"/>
  <c r="AA327" i="3"/>
  <c r="AA326" i="3"/>
  <c r="AA325" i="3"/>
  <c r="AA324" i="3"/>
  <c r="AA322" i="3"/>
  <c r="AA321" i="3"/>
  <c r="AA320" i="3"/>
  <c r="AA319" i="3"/>
  <c r="AA318" i="3"/>
  <c r="AA317" i="3"/>
  <c r="AA316" i="3"/>
  <c r="AA315" i="3"/>
  <c r="AA314" i="3"/>
  <c r="AA313" i="3"/>
  <c r="AA312" i="3"/>
  <c r="AA310" i="3"/>
  <c r="AA309" i="3"/>
  <c r="AA308" i="3"/>
  <c r="AA307" i="3"/>
  <c r="AA305" i="3"/>
  <c r="AA304" i="3"/>
  <c r="AA303" i="3"/>
  <c r="AA302" i="3"/>
  <c r="AA301" i="3"/>
  <c r="AA300" i="3"/>
  <c r="AA299" i="3"/>
  <c r="AA298" i="3"/>
  <c r="AA297" i="3"/>
  <c r="AA295" i="3"/>
  <c r="AA294" i="3"/>
  <c r="AA293" i="3"/>
  <c r="AA292" i="3"/>
  <c r="AA290" i="3"/>
  <c r="AA289" i="3"/>
  <c r="AA288" i="3"/>
  <c r="AA287" i="3"/>
  <c r="AA286" i="3"/>
  <c r="AA285" i="3"/>
  <c r="AA284" i="3"/>
  <c r="AA283" i="3"/>
  <c r="AA282" i="3"/>
  <c r="AA281" i="3"/>
  <c r="AA279" i="3"/>
  <c r="AA278" i="3"/>
  <c r="AA277" i="3"/>
  <c r="AA276" i="3"/>
  <c r="AA275" i="3"/>
  <c r="AA273" i="3"/>
  <c r="AA272" i="3"/>
  <c r="AA271" i="3"/>
  <c r="AA270" i="3"/>
  <c r="AA269" i="3"/>
  <c r="AA268" i="3"/>
  <c r="AA267" i="3"/>
  <c r="AA266" i="3"/>
  <c r="AA265" i="3"/>
  <c r="AA264" i="3"/>
  <c r="AA262" i="3"/>
  <c r="AA261" i="3"/>
  <c r="AA260" i="3"/>
  <c r="AA259" i="3"/>
  <c r="AA257" i="3"/>
  <c r="AA256" i="3"/>
  <c r="AA255" i="3"/>
  <c r="AA254" i="3"/>
  <c r="AA253" i="3"/>
  <c r="AA252" i="3"/>
  <c r="AA251" i="3"/>
  <c r="AA250" i="3"/>
  <c r="AA249" i="3"/>
  <c r="AA248" i="3"/>
  <c r="AA247" i="3"/>
  <c r="AA245" i="3"/>
  <c r="AA244" i="3"/>
  <c r="AA243" i="3"/>
  <c r="AA242" i="3"/>
  <c r="AA241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7" i="3"/>
  <c r="AA96" i="3"/>
  <c r="AA95" i="3"/>
  <c r="AA94" i="3"/>
  <c r="AA93" i="3"/>
  <c r="AA92" i="3"/>
  <c r="AA91" i="3"/>
  <c r="AA90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S55" i="8"/>
  <c r="T55" i="8" s="1"/>
  <c r="R55" i="8"/>
  <c r="S54" i="8"/>
  <c r="T54" i="8" s="1"/>
  <c r="R54" i="8"/>
  <c r="S53" i="8"/>
  <c r="T53" i="8" s="1"/>
  <c r="R53" i="8"/>
  <c r="S52" i="8"/>
  <c r="T52" i="8" s="1"/>
  <c r="R52" i="8"/>
  <c r="S51" i="8"/>
  <c r="T51" i="8" s="1"/>
  <c r="R51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P56" i="4" l="1"/>
  <c r="S266" i="3" l="1"/>
  <c r="S267" i="3"/>
  <c r="S268" i="3"/>
  <c r="S269" i="3"/>
  <c r="S270" i="3"/>
  <c r="S265" i="3"/>
  <c r="H64" i="1" l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N511" i="3"/>
  <c r="H511" i="3"/>
  <c r="K511" i="3" s="1"/>
  <c r="J511" i="3" s="1"/>
  <c r="C511" i="3"/>
  <c r="Q509" i="3"/>
  <c r="N509" i="3"/>
  <c r="H509" i="3"/>
  <c r="A509" i="3"/>
  <c r="N493" i="3"/>
  <c r="H493" i="3"/>
  <c r="K493" i="3" s="1"/>
  <c r="J493" i="3" s="1"/>
  <c r="C493" i="3"/>
  <c r="Q491" i="3"/>
  <c r="N491" i="3"/>
  <c r="H491" i="3"/>
  <c r="A491" i="3"/>
  <c r="N475" i="3"/>
  <c r="H475" i="3"/>
  <c r="K475" i="3" s="1"/>
  <c r="J475" i="3" s="1"/>
  <c r="C475" i="3"/>
  <c r="Q473" i="3"/>
  <c r="N473" i="3"/>
  <c r="H473" i="3"/>
  <c r="A473" i="3"/>
  <c r="N458" i="3"/>
  <c r="H458" i="3"/>
  <c r="K458" i="3" s="1"/>
  <c r="J458" i="3" s="1"/>
  <c r="C458" i="3"/>
  <c r="Q456" i="3"/>
  <c r="N456" i="3"/>
  <c r="H456" i="3"/>
  <c r="A456" i="3"/>
  <c r="N442" i="3"/>
  <c r="H442" i="3"/>
  <c r="K442" i="3" s="1"/>
  <c r="J442" i="3" s="1"/>
  <c r="C442" i="3"/>
  <c r="Q440" i="3"/>
  <c r="N440" i="3"/>
  <c r="H440" i="3"/>
  <c r="A440" i="3"/>
  <c r="N428" i="3"/>
  <c r="H428" i="3"/>
  <c r="K428" i="3" s="1"/>
  <c r="J428" i="3" s="1"/>
  <c r="C428" i="3"/>
  <c r="Q426" i="3"/>
  <c r="N426" i="3"/>
  <c r="H426" i="3"/>
  <c r="A426" i="3"/>
  <c r="N410" i="3"/>
  <c r="H410" i="3"/>
  <c r="K410" i="3" s="1"/>
  <c r="J410" i="3" s="1"/>
  <c r="C410" i="3"/>
  <c r="Q408" i="3"/>
  <c r="N408" i="3"/>
  <c r="H408" i="3"/>
  <c r="A408" i="3"/>
  <c r="N393" i="3"/>
  <c r="H393" i="3"/>
  <c r="K393" i="3" s="1"/>
  <c r="J393" i="3" s="1"/>
  <c r="C393" i="3"/>
  <c r="Q391" i="3"/>
  <c r="N391" i="3"/>
  <c r="H391" i="3"/>
  <c r="A391" i="3"/>
  <c r="N375" i="3"/>
  <c r="H375" i="3"/>
  <c r="K375" i="3" s="1"/>
  <c r="J375" i="3" s="1"/>
  <c r="C375" i="3"/>
  <c r="Q373" i="3"/>
  <c r="N373" i="3"/>
  <c r="H373" i="3"/>
  <c r="A373" i="3"/>
  <c r="N356" i="3"/>
  <c r="H356" i="3"/>
  <c r="K356" i="3" s="1"/>
  <c r="J356" i="3" s="1"/>
  <c r="C356" i="3"/>
  <c r="Q354" i="3"/>
  <c r="N354" i="3"/>
  <c r="H354" i="3"/>
  <c r="A354" i="3"/>
  <c r="N338" i="3"/>
  <c r="H338" i="3"/>
  <c r="K338" i="3" s="1"/>
  <c r="J338" i="3" s="1"/>
  <c r="C338" i="3"/>
  <c r="Q336" i="3"/>
  <c r="N336" i="3"/>
  <c r="H336" i="3"/>
  <c r="A336" i="3"/>
  <c r="N325" i="3"/>
  <c r="H325" i="3"/>
  <c r="K325" i="3" s="1"/>
  <c r="J325" i="3" s="1"/>
  <c r="C325" i="3"/>
  <c r="Q323" i="3"/>
  <c r="N323" i="3"/>
  <c r="H323" i="3"/>
  <c r="A323" i="3"/>
  <c r="N308" i="3"/>
  <c r="H308" i="3"/>
  <c r="K308" i="3" s="1"/>
  <c r="J308" i="3" s="1"/>
  <c r="C308" i="3"/>
  <c r="Q306" i="3"/>
  <c r="N306" i="3"/>
  <c r="H306" i="3"/>
  <c r="A306" i="3"/>
  <c r="N293" i="3"/>
  <c r="H293" i="3"/>
  <c r="K293" i="3" s="1"/>
  <c r="J293" i="3" s="1"/>
  <c r="C293" i="3"/>
  <c r="Q291" i="3"/>
  <c r="N291" i="3"/>
  <c r="H291" i="3"/>
  <c r="A291" i="3"/>
  <c r="A296" i="3"/>
  <c r="H296" i="3"/>
  <c r="N296" i="3"/>
  <c r="N276" i="3"/>
  <c r="H276" i="3"/>
  <c r="K276" i="3" s="1"/>
  <c r="J276" i="3" s="1"/>
  <c r="C276" i="3"/>
  <c r="Q274" i="3"/>
  <c r="N274" i="3"/>
  <c r="H274" i="3"/>
  <c r="A274" i="3"/>
  <c r="C260" i="3"/>
  <c r="N260" i="3"/>
  <c r="H260" i="3"/>
  <c r="A1" i="9"/>
  <c r="Q258" i="3"/>
  <c r="N258" i="3"/>
  <c r="H258" i="3"/>
  <c r="A258" i="3"/>
  <c r="Q560" i="3"/>
  <c r="Q551" i="3"/>
  <c r="Q544" i="3"/>
  <c r="Q533" i="3"/>
  <c r="C291" i="3" l="1"/>
  <c r="AA291" i="3"/>
  <c r="C354" i="3"/>
  <c r="AA354" i="3"/>
  <c r="C426" i="3"/>
  <c r="AA426" i="3"/>
  <c r="C491" i="3"/>
  <c r="AA491" i="3"/>
  <c r="C336" i="3"/>
  <c r="AA336" i="3"/>
  <c r="C408" i="3"/>
  <c r="AA408" i="3"/>
  <c r="C473" i="3"/>
  <c r="AA473" i="3"/>
  <c r="C258" i="3"/>
  <c r="AA258" i="3"/>
  <c r="C274" i="3"/>
  <c r="AA274" i="3"/>
  <c r="C323" i="3"/>
  <c r="AA323" i="3"/>
  <c r="C391" i="3"/>
  <c r="AA391" i="3"/>
  <c r="C456" i="3"/>
  <c r="AA456" i="3"/>
  <c r="C296" i="3"/>
  <c r="AA296" i="3"/>
  <c r="C306" i="3"/>
  <c r="AA306" i="3"/>
  <c r="C373" i="3"/>
  <c r="AA373" i="3"/>
  <c r="C440" i="3"/>
  <c r="AA440" i="3"/>
  <c r="C509" i="3"/>
  <c r="AA509" i="3"/>
  <c r="K291" i="3"/>
  <c r="K258" i="3"/>
  <c r="M258" i="3"/>
  <c r="K323" i="3"/>
  <c r="M391" i="3"/>
  <c r="I456" i="3"/>
  <c r="M306" i="3"/>
  <c r="I373" i="3"/>
  <c r="M440" i="3"/>
  <c r="I509" i="3"/>
  <c r="M354" i="3"/>
  <c r="I426" i="3"/>
  <c r="M491" i="3"/>
  <c r="K274" i="3"/>
  <c r="I296" i="3"/>
  <c r="M296" i="3"/>
  <c r="K336" i="3"/>
  <c r="I408" i="3"/>
  <c r="M408" i="3"/>
  <c r="M473" i="3"/>
  <c r="U296" i="3"/>
  <c r="U274" i="3"/>
  <c r="U306" i="3"/>
  <c r="U336" i="3"/>
  <c r="U373" i="3"/>
  <c r="U408" i="3"/>
  <c r="U440" i="3"/>
  <c r="U473" i="3"/>
  <c r="U509" i="3"/>
  <c r="U258" i="3"/>
  <c r="U291" i="3"/>
  <c r="U323" i="3"/>
  <c r="U354" i="3"/>
  <c r="U391" i="3"/>
  <c r="U426" i="3"/>
  <c r="U456" i="3"/>
  <c r="U491" i="3"/>
  <c r="K509" i="3"/>
  <c r="M509" i="3"/>
  <c r="K491" i="3"/>
  <c r="I491" i="3"/>
  <c r="K456" i="3"/>
  <c r="K473" i="3"/>
  <c r="I473" i="3"/>
  <c r="M456" i="3"/>
  <c r="K440" i="3"/>
  <c r="I440" i="3"/>
  <c r="K426" i="3"/>
  <c r="M426" i="3"/>
  <c r="K408" i="3"/>
  <c r="K391" i="3"/>
  <c r="I391" i="3"/>
  <c r="K373" i="3"/>
  <c r="M373" i="3"/>
  <c r="K354" i="3"/>
  <c r="I354" i="3"/>
  <c r="M336" i="3"/>
  <c r="I336" i="3"/>
  <c r="I323" i="3"/>
  <c r="M323" i="3"/>
  <c r="K306" i="3"/>
  <c r="I306" i="3"/>
  <c r="I291" i="3"/>
  <c r="M291" i="3"/>
  <c r="K296" i="3"/>
  <c r="I274" i="3"/>
  <c r="M274" i="3"/>
  <c r="K260" i="3"/>
  <c r="J260" i="3" s="1"/>
  <c r="I258" i="3"/>
  <c r="Q526" i="3"/>
  <c r="Q514" i="3"/>
  <c r="G514" i="3" s="1"/>
  <c r="Q496" i="3"/>
  <c r="G496" i="3" s="1"/>
  <c r="Q478" i="3"/>
  <c r="G478" i="3" s="1"/>
  <c r="Q461" i="3"/>
  <c r="G461" i="3" s="1"/>
  <c r="D470" i="3" s="1"/>
  <c r="Q445" i="3"/>
  <c r="G445" i="3" s="1"/>
  <c r="Q431" i="3"/>
  <c r="G431" i="3" s="1"/>
  <c r="D437" i="3" s="1"/>
  <c r="Q413" i="3"/>
  <c r="G413" i="3" s="1"/>
  <c r="Q396" i="3"/>
  <c r="G396" i="3" s="1"/>
  <c r="D405" i="3" s="1"/>
  <c r="Q378" i="3"/>
  <c r="G378" i="3" s="1"/>
  <c r="Q359" i="3"/>
  <c r="G359" i="3" s="1"/>
  <c r="Q328" i="3"/>
  <c r="G328" i="3" s="1"/>
  <c r="Q311" i="3"/>
  <c r="G311" i="3" s="1"/>
  <c r="D320" i="3" s="1"/>
  <c r="Q280" i="3"/>
  <c r="G280" i="3" s="1"/>
  <c r="D488" i="3" l="1"/>
  <c r="D333" i="3"/>
  <c r="D423" i="3"/>
  <c r="D370" i="3"/>
  <c r="D506" i="3"/>
  <c r="D288" i="3"/>
  <c r="D388" i="3"/>
  <c r="D453" i="3"/>
  <c r="D523" i="3"/>
  <c r="Q263" i="3"/>
  <c r="G263" i="3" s="1"/>
  <c r="D271" i="3" s="1"/>
  <c r="P17" i="7" l="1"/>
  <c r="J17" i="7"/>
  <c r="J14" i="7"/>
  <c r="J13" i="7"/>
  <c r="O3" i="3" l="1"/>
  <c r="S21" i="7" l="1"/>
  <c r="L26" i="7"/>
  <c r="F4" i="7" l="1"/>
  <c r="F5" i="7"/>
  <c r="F6" i="7"/>
  <c r="F7" i="7"/>
  <c r="F8" i="7"/>
  <c r="F3" i="7"/>
  <c r="L25" i="7"/>
  <c r="L24" i="7"/>
  <c r="L23" i="7"/>
  <c r="L22" i="7"/>
  <c r="L21" i="7"/>
  <c r="D22" i="7"/>
  <c r="D21" i="7"/>
  <c r="F15" i="7"/>
  <c r="H15" i="7" s="1"/>
  <c r="E15" i="7"/>
  <c r="C15" i="7"/>
  <c r="H14" i="7"/>
  <c r="F14" i="7"/>
  <c r="E14" i="7"/>
  <c r="H13" i="7"/>
  <c r="F13" i="7"/>
  <c r="C13" i="7"/>
  <c r="G11" i="7"/>
  <c r="C11" i="7"/>
  <c r="D8" i="7"/>
  <c r="D7" i="7"/>
  <c r="D6" i="7"/>
  <c r="D5" i="7"/>
  <c r="D4" i="7"/>
  <c r="D3" i="7"/>
  <c r="P242" i="3" l="1"/>
  <c r="P236" i="3"/>
  <c r="P230" i="3"/>
  <c r="N563" i="3"/>
  <c r="N562" i="3"/>
  <c r="N560" i="3"/>
  <c r="N556" i="3"/>
  <c r="N555" i="3"/>
  <c r="N554" i="3"/>
  <c r="N553" i="3"/>
  <c r="N551" i="3"/>
  <c r="N547" i="3"/>
  <c r="N546" i="3"/>
  <c r="N544" i="3"/>
  <c r="N540" i="3"/>
  <c r="N539" i="3"/>
  <c r="N538" i="3"/>
  <c r="N537" i="3"/>
  <c r="N536" i="3"/>
  <c r="N535" i="3"/>
  <c r="N533" i="3"/>
  <c r="N529" i="3"/>
  <c r="N528" i="3"/>
  <c r="N526" i="3"/>
  <c r="N522" i="3"/>
  <c r="N521" i="3"/>
  <c r="N520" i="3"/>
  <c r="N519" i="3"/>
  <c r="N518" i="3"/>
  <c r="N517" i="3"/>
  <c r="N516" i="3"/>
  <c r="N514" i="3"/>
  <c r="N505" i="3"/>
  <c r="N504" i="3"/>
  <c r="N503" i="3"/>
  <c r="N502" i="3"/>
  <c r="N501" i="3"/>
  <c r="N500" i="3"/>
  <c r="N499" i="3"/>
  <c r="N498" i="3"/>
  <c r="N496" i="3"/>
  <c r="N487" i="3"/>
  <c r="N486" i="3"/>
  <c r="N485" i="3"/>
  <c r="N484" i="3"/>
  <c r="N483" i="3"/>
  <c r="N482" i="3"/>
  <c r="N481" i="3"/>
  <c r="N480" i="3"/>
  <c r="N478" i="3"/>
  <c r="N469" i="3"/>
  <c r="N468" i="3"/>
  <c r="N467" i="3"/>
  <c r="N466" i="3"/>
  <c r="N465" i="3"/>
  <c r="N464" i="3"/>
  <c r="N463" i="3"/>
  <c r="N461" i="3"/>
  <c r="N452" i="3"/>
  <c r="N451" i="3"/>
  <c r="N450" i="3"/>
  <c r="N449" i="3"/>
  <c r="N448" i="3"/>
  <c r="N447" i="3"/>
  <c r="N445" i="3"/>
  <c r="N436" i="3"/>
  <c r="N435" i="3"/>
  <c r="N434" i="3"/>
  <c r="N433" i="3"/>
  <c r="N431" i="3"/>
  <c r="N422" i="3"/>
  <c r="N421" i="3"/>
  <c r="N420" i="3"/>
  <c r="N419" i="3"/>
  <c r="N418" i="3"/>
  <c r="N417" i="3"/>
  <c r="N416" i="3"/>
  <c r="N415" i="3"/>
  <c r="N413" i="3"/>
  <c r="N404" i="3"/>
  <c r="N403" i="3"/>
  <c r="N402" i="3"/>
  <c r="N401" i="3"/>
  <c r="N400" i="3"/>
  <c r="N399" i="3"/>
  <c r="N398" i="3"/>
  <c r="N396" i="3"/>
  <c r="N387" i="3"/>
  <c r="N386" i="3"/>
  <c r="N385" i="3"/>
  <c r="N384" i="3"/>
  <c r="N383" i="3"/>
  <c r="N382" i="3"/>
  <c r="N381" i="3"/>
  <c r="N380" i="3"/>
  <c r="N378" i="3"/>
  <c r="N369" i="3"/>
  <c r="N368" i="3"/>
  <c r="N367" i="3"/>
  <c r="N366" i="3"/>
  <c r="N365" i="3"/>
  <c r="N364" i="3"/>
  <c r="N363" i="3"/>
  <c r="N362" i="3"/>
  <c r="N361" i="3"/>
  <c r="N359" i="3"/>
  <c r="N350" i="3"/>
  <c r="N349" i="3"/>
  <c r="N348" i="3"/>
  <c r="N347" i="3"/>
  <c r="N346" i="3"/>
  <c r="N345" i="3"/>
  <c r="N344" i="3"/>
  <c r="N343" i="3"/>
  <c r="N341" i="3"/>
  <c r="N332" i="3"/>
  <c r="N331" i="3"/>
  <c r="N330" i="3"/>
  <c r="N328" i="3"/>
  <c r="N319" i="3"/>
  <c r="N318" i="3"/>
  <c r="N317" i="3"/>
  <c r="N316" i="3"/>
  <c r="N315" i="3"/>
  <c r="N314" i="3"/>
  <c r="N313" i="3"/>
  <c r="N311" i="3"/>
  <c r="N302" i="3"/>
  <c r="N301" i="3"/>
  <c r="N300" i="3"/>
  <c r="N299" i="3"/>
  <c r="N298" i="3"/>
  <c r="N287" i="3"/>
  <c r="N286" i="3"/>
  <c r="N285" i="3"/>
  <c r="N284" i="3"/>
  <c r="N283" i="3"/>
  <c r="N282" i="3"/>
  <c r="N280" i="3"/>
  <c r="N270" i="3"/>
  <c r="N269" i="3"/>
  <c r="N268" i="3"/>
  <c r="N267" i="3"/>
  <c r="N266" i="3"/>
  <c r="N265" i="3"/>
  <c r="N263" i="3"/>
  <c r="N254" i="3"/>
  <c r="N252" i="3"/>
  <c r="N248" i="3"/>
  <c r="N246" i="3"/>
  <c r="N242" i="3"/>
  <c r="N240" i="3"/>
  <c r="N236" i="3"/>
  <c r="N234" i="3"/>
  <c r="N230" i="3"/>
  <c r="N228" i="3"/>
  <c r="N224" i="3"/>
  <c r="N223" i="3"/>
  <c r="N221" i="3"/>
  <c r="N217" i="3"/>
  <c r="N216" i="3"/>
  <c r="N214" i="3"/>
  <c r="N210" i="3"/>
  <c r="N209" i="3"/>
  <c r="N207" i="3"/>
  <c r="N203" i="3"/>
  <c r="N201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6" i="3"/>
  <c r="N172" i="3"/>
  <c r="N171" i="3"/>
  <c r="N169" i="3"/>
  <c r="N165" i="3"/>
  <c r="N164" i="3"/>
  <c r="N162" i="3"/>
  <c r="N158" i="3"/>
  <c r="N157" i="3"/>
  <c r="N155" i="3"/>
  <c r="N151" i="3"/>
  <c r="N150" i="3"/>
  <c r="N148" i="3"/>
  <c r="N144" i="3"/>
  <c r="N143" i="3"/>
  <c r="M142" i="3"/>
  <c r="N142" i="3"/>
  <c r="N141" i="3"/>
  <c r="N137" i="3"/>
  <c r="N136" i="3"/>
  <c r="N134" i="3"/>
  <c r="N130" i="3"/>
  <c r="N129" i="3"/>
  <c r="N128" i="3"/>
  <c r="N127" i="3"/>
  <c r="N126" i="3"/>
  <c r="N125" i="3"/>
  <c r="N124" i="3"/>
  <c r="N122" i="3"/>
  <c r="N118" i="3"/>
  <c r="N117" i="3"/>
  <c r="N116" i="3"/>
  <c r="N115" i="3"/>
  <c r="N114" i="3"/>
  <c r="N113" i="3"/>
  <c r="N112" i="3"/>
  <c r="N110" i="3"/>
  <c r="N106" i="3"/>
  <c r="N105" i="3"/>
  <c r="N104" i="3"/>
  <c r="N103" i="3"/>
  <c r="N102" i="3"/>
  <c r="N101" i="3"/>
  <c r="N100" i="3"/>
  <c r="N98" i="3"/>
  <c r="N94" i="3"/>
  <c r="N93" i="3"/>
  <c r="N92" i="3"/>
  <c r="N91" i="3"/>
  <c r="N89" i="3"/>
  <c r="N85" i="3"/>
  <c r="N84" i="3"/>
  <c r="N83" i="3"/>
  <c r="N82" i="3"/>
  <c r="N80" i="3"/>
  <c r="N76" i="3"/>
  <c r="N75" i="3"/>
  <c r="N74" i="3"/>
  <c r="N73" i="3"/>
  <c r="N72" i="3"/>
  <c r="N71" i="3"/>
  <c r="N70" i="3"/>
  <c r="N69" i="3"/>
  <c r="N68" i="3"/>
  <c r="N67" i="3"/>
  <c r="N65" i="3"/>
  <c r="N61" i="3"/>
  <c r="N60" i="3"/>
  <c r="N59" i="3"/>
  <c r="N58" i="3"/>
  <c r="N57" i="3"/>
  <c r="N56" i="3"/>
  <c r="N55" i="3"/>
  <c r="N54" i="3"/>
  <c r="N53" i="3"/>
  <c r="N52" i="3"/>
  <c r="N50" i="3"/>
  <c r="N46" i="3"/>
  <c r="N45" i="3"/>
  <c r="N44" i="3"/>
  <c r="N43" i="3"/>
  <c r="N42" i="3"/>
  <c r="N41" i="3"/>
  <c r="N40" i="3"/>
  <c r="N39" i="3"/>
  <c r="N38" i="3"/>
  <c r="N37" i="3"/>
  <c r="N36" i="3"/>
  <c r="N34" i="3"/>
  <c r="N30" i="3"/>
  <c r="N29" i="3"/>
  <c r="N28" i="3"/>
  <c r="N27" i="3"/>
  <c r="N26" i="3"/>
  <c r="N25" i="3"/>
  <c r="N24" i="3"/>
  <c r="N23" i="3"/>
  <c r="N22" i="3"/>
  <c r="N21" i="3"/>
  <c r="N20" i="3"/>
  <c r="N18" i="3"/>
  <c r="N14" i="3"/>
  <c r="N13" i="3"/>
  <c r="N12" i="3"/>
  <c r="N11" i="3"/>
  <c r="N10" i="3"/>
  <c r="N9" i="3"/>
  <c r="N8" i="3"/>
  <c r="N7" i="3"/>
  <c r="N6" i="3"/>
  <c r="N5" i="3"/>
  <c r="N4" i="3"/>
  <c r="N2" i="3"/>
  <c r="H564" i="3"/>
  <c r="H557" i="3"/>
  <c r="H548" i="3"/>
  <c r="H541" i="3"/>
  <c r="H530" i="3"/>
  <c r="H523" i="3"/>
  <c r="H506" i="3"/>
  <c r="H488" i="3"/>
  <c r="H470" i="3"/>
  <c r="H453" i="3"/>
  <c r="H437" i="3"/>
  <c r="H423" i="3"/>
  <c r="H405" i="3"/>
  <c r="H388" i="3"/>
  <c r="H370" i="3"/>
  <c r="H351" i="3"/>
  <c r="H333" i="3"/>
  <c r="H320" i="3"/>
  <c r="H303" i="3"/>
  <c r="H288" i="3"/>
  <c r="H271" i="3"/>
  <c r="H255" i="3"/>
  <c r="H249" i="3"/>
  <c r="H243" i="3"/>
  <c r="H237" i="3"/>
  <c r="H231" i="3"/>
  <c r="H225" i="3"/>
  <c r="H218" i="3"/>
  <c r="H211" i="3"/>
  <c r="H204" i="3"/>
  <c r="H198" i="3"/>
  <c r="H173" i="3"/>
  <c r="H166" i="3"/>
  <c r="H159" i="3"/>
  <c r="H152" i="3"/>
  <c r="H145" i="3"/>
  <c r="H138" i="3"/>
  <c r="H131" i="3"/>
  <c r="H119" i="3"/>
  <c r="H107" i="3"/>
  <c r="H95" i="3"/>
  <c r="H86" i="3"/>
  <c r="H77" i="3"/>
  <c r="H62" i="3"/>
  <c r="H47" i="3"/>
  <c r="H31" i="3"/>
  <c r="H15" i="3"/>
  <c r="G560" i="3"/>
  <c r="G551" i="3"/>
  <c r="G544" i="3"/>
  <c r="G533" i="3"/>
  <c r="H254" i="3"/>
  <c r="H252" i="3"/>
  <c r="C252" i="3"/>
  <c r="A263" i="3"/>
  <c r="H85" i="3"/>
  <c r="H84" i="3"/>
  <c r="H83" i="3"/>
  <c r="H82" i="3"/>
  <c r="H80" i="3"/>
  <c r="C80" i="3"/>
  <c r="H46" i="3"/>
  <c r="H45" i="3"/>
  <c r="H44" i="3"/>
  <c r="H43" i="3"/>
  <c r="H42" i="3"/>
  <c r="H41" i="3"/>
  <c r="H40" i="3"/>
  <c r="H39" i="3"/>
  <c r="H38" i="3"/>
  <c r="H37" i="3"/>
  <c r="H36" i="3"/>
  <c r="H34" i="3"/>
  <c r="C34" i="3"/>
  <c r="H30" i="3"/>
  <c r="H29" i="3"/>
  <c r="H28" i="3"/>
  <c r="H27" i="3"/>
  <c r="H26" i="3"/>
  <c r="H25" i="3"/>
  <c r="H24" i="3"/>
  <c r="H23" i="3"/>
  <c r="H22" i="3"/>
  <c r="H21" i="3"/>
  <c r="H20" i="3"/>
  <c r="H18" i="3"/>
  <c r="C18" i="3"/>
  <c r="H172" i="3"/>
  <c r="H171" i="3"/>
  <c r="H169" i="3"/>
  <c r="C169" i="3"/>
  <c r="H158" i="3"/>
  <c r="H157" i="3"/>
  <c r="H155" i="3"/>
  <c r="C155" i="3"/>
  <c r="H151" i="3"/>
  <c r="H150" i="3"/>
  <c r="H148" i="3"/>
  <c r="C148" i="3"/>
  <c r="H144" i="3"/>
  <c r="H143" i="3"/>
  <c r="H141" i="3"/>
  <c r="C141" i="3"/>
  <c r="H76" i="3"/>
  <c r="H75" i="3"/>
  <c r="H74" i="3"/>
  <c r="H73" i="3"/>
  <c r="H72" i="3"/>
  <c r="H71" i="3"/>
  <c r="H70" i="3"/>
  <c r="H69" i="3"/>
  <c r="H68" i="3"/>
  <c r="H67" i="3"/>
  <c r="H65" i="3"/>
  <c r="C65" i="3"/>
  <c r="H130" i="3"/>
  <c r="H129" i="3"/>
  <c r="H128" i="3"/>
  <c r="H127" i="3"/>
  <c r="H126" i="3"/>
  <c r="H125" i="3"/>
  <c r="H124" i="3"/>
  <c r="H122" i="3"/>
  <c r="C122" i="3"/>
  <c r="H118" i="3"/>
  <c r="H117" i="3"/>
  <c r="H116" i="3"/>
  <c r="H115" i="3"/>
  <c r="H114" i="3"/>
  <c r="H113" i="3"/>
  <c r="H112" i="3"/>
  <c r="H110" i="3"/>
  <c r="C110" i="3"/>
  <c r="H236" i="3"/>
  <c r="H235" i="3"/>
  <c r="H234" i="3"/>
  <c r="C234" i="3"/>
  <c r="H4" i="3"/>
  <c r="H5" i="3"/>
  <c r="H6" i="3"/>
  <c r="H7" i="3"/>
  <c r="H8" i="3"/>
  <c r="H9" i="3"/>
  <c r="H10" i="3"/>
  <c r="H11" i="3"/>
  <c r="H12" i="3"/>
  <c r="H13" i="3"/>
  <c r="H14" i="3"/>
  <c r="H50" i="3"/>
  <c r="H52" i="3"/>
  <c r="H53" i="3"/>
  <c r="H54" i="3"/>
  <c r="H55" i="3"/>
  <c r="H56" i="3"/>
  <c r="H57" i="3"/>
  <c r="H58" i="3"/>
  <c r="H59" i="3"/>
  <c r="H60" i="3"/>
  <c r="H61" i="3"/>
  <c r="H89" i="3"/>
  <c r="H91" i="3"/>
  <c r="H92" i="3"/>
  <c r="H93" i="3"/>
  <c r="H94" i="3"/>
  <c r="H98" i="3"/>
  <c r="H100" i="3"/>
  <c r="H101" i="3"/>
  <c r="H102" i="3"/>
  <c r="H103" i="3"/>
  <c r="H104" i="3"/>
  <c r="H105" i="3"/>
  <c r="H106" i="3"/>
  <c r="H134" i="3"/>
  <c r="H136" i="3"/>
  <c r="H137" i="3"/>
  <c r="H162" i="3"/>
  <c r="H164" i="3"/>
  <c r="H16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01" i="3"/>
  <c r="H203" i="3"/>
  <c r="H207" i="3"/>
  <c r="H209" i="3"/>
  <c r="H210" i="3"/>
  <c r="H214" i="3"/>
  <c r="H216" i="3"/>
  <c r="H217" i="3"/>
  <c r="H221" i="3"/>
  <c r="H222" i="3"/>
  <c r="H223" i="3"/>
  <c r="H224" i="3"/>
  <c r="H228" i="3"/>
  <c r="H229" i="3"/>
  <c r="H230" i="3"/>
  <c r="H240" i="3"/>
  <c r="H242" i="3"/>
  <c r="H246" i="3"/>
  <c r="H248" i="3"/>
  <c r="H263" i="3"/>
  <c r="H265" i="3"/>
  <c r="H266" i="3"/>
  <c r="H267" i="3"/>
  <c r="H268" i="3"/>
  <c r="H269" i="3"/>
  <c r="H270" i="3"/>
  <c r="H280" i="3"/>
  <c r="H282" i="3"/>
  <c r="H283" i="3"/>
  <c r="H284" i="3"/>
  <c r="H285" i="3"/>
  <c r="H286" i="3"/>
  <c r="H287" i="3"/>
  <c r="H298" i="3"/>
  <c r="H299" i="3"/>
  <c r="H300" i="3"/>
  <c r="H301" i="3"/>
  <c r="H302" i="3"/>
  <c r="H311" i="3"/>
  <c r="H313" i="3"/>
  <c r="H314" i="3"/>
  <c r="H315" i="3"/>
  <c r="H316" i="3"/>
  <c r="H317" i="3"/>
  <c r="H318" i="3"/>
  <c r="H319" i="3"/>
  <c r="H328" i="3"/>
  <c r="H330" i="3"/>
  <c r="H331" i="3"/>
  <c r="H332" i="3"/>
  <c r="H341" i="3"/>
  <c r="H343" i="3"/>
  <c r="H344" i="3"/>
  <c r="H345" i="3"/>
  <c r="H346" i="3"/>
  <c r="H347" i="3"/>
  <c r="H348" i="3"/>
  <c r="H349" i="3"/>
  <c r="O349" i="3" s="1"/>
  <c r="H350" i="3"/>
  <c r="H359" i="3"/>
  <c r="H360" i="3"/>
  <c r="H361" i="3"/>
  <c r="H362" i="3"/>
  <c r="H363" i="3"/>
  <c r="H364" i="3"/>
  <c r="H365" i="3"/>
  <c r="H366" i="3"/>
  <c r="H367" i="3"/>
  <c r="O367" i="3" s="1"/>
  <c r="H368" i="3"/>
  <c r="H369" i="3"/>
  <c r="H378" i="3"/>
  <c r="H380" i="3"/>
  <c r="H381" i="3"/>
  <c r="H382" i="3"/>
  <c r="H383" i="3"/>
  <c r="H384" i="3"/>
  <c r="H385" i="3"/>
  <c r="H386" i="3"/>
  <c r="H387" i="3"/>
  <c r="H396" i="3"/>
  <c r="H398" i="3"/>
  <c r="H399" i="3"/>
  <c r="H400" i="3"/>
  <c r="H401" i="3"/>
  <c r="H402" i="3"/>
  <c r="H403" i="3"/>
  <c r="H404" i="3"/>
  <c r="H413" i="3"/>
  <c r="H415" i="3"/>
  <c r="H416" i="3"/>
  <c r="H417" i="3"/>
  <c r="O417" i="3" s="1"/>
  <c r="H418" i="3"/>
  <c r="O418" i="3" s="1"/>
  <c r="H419" i="3"/>
  <c r="H420" i="3"/>
  <c r="H421" i="3"/>
  <c r="H422" i="3"/>
  <c r="H431" i="3"/>
  <c r="H433" i="3"/>
  <c r="H434" i="3"/>
  <c r="H435" i="3"/>
  <c r="H436" i="3"/>
  <c r="H445" i="3"/>
  <c r="H447" i="3"/>
  <c r="H448" i="3"/>
  <c r="H449" i="3"/>
  <c r="H450" i="3"/>
  <c r="H451" i="3"/>
  <c r="H452" i="3"/>
  <c r="H461" i="3"/>
  <c r="H463" i="3"/>
  <c r="H464" i="3"/>
  <c r="H465" i="3"/>
  <c r="H466" i="3"/>
  <c r="H467" i="3"/>
  <c r="H468" i="3"/>
  <c r="O468" i="3" s="1"/>
  <c r="H469" i="3"/>
  <c r="H478" i="3"/>
  <c r="H480" i="3"/>
  <c r="H481" i="3"/>
  <c r="H482" i="3"/>
  <c r="H483" i="3"/>
  <c r="H484" i="3"/>
  <c r="H485" i="3"/>
  <c r="O485" i="3" s="1"/>
  <c r="H486" i="3"/>
  <c r="H487" i="3"/>
  <c r="H496" i="3"/>
  <c r="H498" i="3"/>
  <c r="H499" i="3"/>
  <c r="H500" i="3"/>
  <c r="H501" i="3"/>
  <c r="H502" i="3"/>
  <c r="H503" i="3"/>
  <c r="H504" i="3"/>
  <c r="H505" i="3"/>
  <c r="H514" i="3"/>
  <c r="H516" i="3"/>
  <c r="H517" i="3"/>
  <c r="H518" i="3"/>
  <c r="H519" i="3"/>
  <c r="H520" i="3"/>
  <c r="H521" i="3"/>
  <c r="H522" i="3"/>
  <c r="H526" i="3"/>
  <c r="H528" i="3"/>
  <c r="H529" i="3"/>
  <c r="H533" i="3"/>
  <c r="H535" i="3"/>
  <c r="H536" i="3"/>
  <c r="H537" i="3"/>
  <c r="H538" i="3"/>
  <c r="H539" i="3"/>
  <c r="H540" i="3"/>
  <c r="H544" i="3"/>
  <c r="H546" i="3"/>
  <c r="H547" i="3"/>
  <c r="H551" i="3"/>
  <c r="H553" i="3"/>
  <c r="H554" i="3"/>
  <c r="H555" i="3"/>
  <c r="O555" i="3" s="1"/>
  <c r="H556" i="3"/>
  <c r="H560" i="3"/>
  <c r="H562" i="3"/>
  <c r="H563" i="3"/>
  <c r="H2" i="3"/>
  <c r="U2" i="3" s="1"/>
  <c r="C228" i="3"/>
  <c r="C221" i="3"/>
  <c r="C207" i="3"/>
  <c r="A560" i="3"/>
  <c r="A551" i="3"/>
  <c r="A544" i="3"/>
  <c r="A533" i="3"/>
  <c r="A526" i="3"/>
  <c r="A514" i="3"/>
  <c r="AA514" i="3" s="1"/>
  <c r="A496" i="3"/>
  <c r="A478" i="3"/>
  <c r="A461" i="3"/>
  <c r="A445" i="3"/>
  <c r="A431" i="3"/>
  <c r="A413" i="3"/>
  <c r="A396" i="3"/>
  <c r="A378" i="3"/>
  <c r="A359" i="3"/>
  <c r="A341" i="3"/>
  <c r="A328" i="3"/>
  <c r="A311" i="3"/>
  <c r="A280" i="3"/>
  <c r="A246" i="3"/>
  <c r="A240" i="3"/>
  <c r="A214" i="3"/>
  <c r="A201" i="3"/>
  <c r="A176" i="3"/>
  <c r="A162" i="3"/>
  <c r="A134" i="3"/>
  <c r="A98" i="3"/>
  <c r="A89" i="3"/>
  <c r="AA89" i="3" s="1"/>
  <c r="A50" i="3"/>
  <c r="A2" i="3"/>
  <c r="AA2" i="3" s="1"/>
  <c r="AG135" i="4"/>
  <c r="AR134" i="4"/>
  <c r="AQ135" i="4"/>
  <c r="AM134" i="4"/>
  <c r="AM135" i="4"/>
  <c r="AG134" i="4"/>
  <c r="AM133" i="4"/>
  <c r="AQ133" i="4"/>
  <c r="AI134" i="4"/>
  <c r="AG133" i="4"/>
  <c r="AL135" i="4"/>
  <c r="AH135" i="4"/>
  <c r="AL134" i="4"/>
  <c r="AI135" i="4"/>
  <c r="AH134" i="4"/>
  <c r="AR133" i="4"/>
  <c r="AK133" i="4"/>
  <c r="AK134" i="4"/>
  <c r="AQ134" i="4"/>
  <c r="AR135" i="4"/>
  <c r="AN135" i="4"/>
  <c r="AI133" i="4"/>
  <c r="AN133" i="4"/>
  <c r="AN134" i="4"/>
  <c r="AL133" i="4"/>
  <c r="AK135" i="4"/>
  <c r="AH133" i="4"/>
  <c r="C214" i="3" l="1"/>
  <c r="AA214" i="3"/>
  <c r="C311" i="3"/>
  <c r="AA311" i="3"/>
  <c r="C378" i="3"/>
  <c r="AA378" i="3"/>
  <c r="C445" i="3"/>
  <c r="AA445" i="3"/>
  <c r="C134" i="3"/>
  <c r="AA134" i="3"/>
  <c r="C551" i="3"/>
  <c r="AA551" i="3"/>
  <c r="C50" i="3"/>
  <c r="AA50" i="3"/>
  <c r="C162" i="3"/>
  <c r="AA162" i="3"/>
  <c r="C240" i="3"/>
  <c r="AA240" i="3"/>
  <c r="C328" i="3"/>
  <c r="AA328" i="3"/>
  <c r="C396" i="3"/>
  <c r="AA396" i="3"/>
  <c r="C461" i="3"/>
  <c r="AA461" i="3"/>
  <c r="C526" i="3"/>
  <c r="AA526" i="3"/>
  <c r="C560" i="3"/>
  <c r="AA560" i="3"/>
  <c r="C263" i="3"/>
  <c r="AA263" i="3"/>
  <c r="C176" i="3"/>
  <c r="AA176" i="3"/>
  <c r="C246" i="3"/>
  <c r="AA246" i="3"/>
  <c r="C341" i="3"/>
  <c r="AA341" i="3"/>
  <c r="C413" i="3"/>
  <c r="AA413" i="3"/>
  <c r="C478" i="3"/>
  <c r="AA478" i="3"/>
  <c r="C533" i="3"/>
  <c r="AA533" i="3"/>
  <c r="C98" i="3"/>
  <c r="AA98" i="3"/>
  <c r="C201" i="3"/>
  <c r="AA201" i="3"/>
  <c r="C280" i="3"/>
  <c r="AA280" i="3"/>
  <c r="C359" i="3"/>
  <c r="AA359" i="3"/>
  <c r="C431" i="3"/>
  <c r="AA431" i="3"/>
  <c r="C496" i="3"/>
  <c r="AA496" i="3"/>
  <c r="C544" i="3"/>
  <c r="AA544" i="3"/>
  <c r="U551" i="3"/>
  <c r="O551" i="3"/>
  <c r="M551" i="3" s="1"/>
  <c r="U396" i="3"/>
  <c r="M396" i="3"/>
  <c r="U359" i="3"/>
  <c r="M359" i="3"/>
  <c r="U263" i="3"/>
  <c r="M263" i="3"/>
  <c r="U240" i="3"/>
  <c r="U526" i="3"/>
  <c r="O526" i="3"/>
  <c r="M526" i="3" s="1"/>
  <c r="U514" i="3"/>
  <c r="M514" i="3"/>
  <c r="U378" i="3"/>
  <c r="M378" i="3"/>
  <c r="U328" i="3"/>
  <c r="M328" i="3"/>
  <c r="U311" i="3"/>
  <c r="M311" i="3"/>
  <c r="U65" i="3"/>
  <c r="U141" i="3"/>
  <c r="U155" i="3"/>
  <c r="U169" i="3"/>
  <c r="U560" i="3"/>
  <c r="O560" i="3"/>
  <c r="M560" i="3" s="1"/>
  <c r="U544" i="3"/>
  <c r="O544" i="3"/>
  <c r="M544" i="3" s="1"/>
  <c r="U478" i="3"/>
  <c r="U461" i="3"/>
  <c r="U431" i="3"/>
  <c r="U228" i="3"/>
  <c r="U221" i="3"/>
  <c r="U201" i="3"/>
  <c r="U162" i="3"/>
  <c r="U89" i="3"/>
  <c r="M89" i="3"/>
  <c r="U234" i="3"/>
  <c r="U110" i="3"/>
  <c r="U80" i="3"/>
  <c r="U413" i="3"/>
  <c r="U176" i="3"/>
  <c r="M176" i="3"/>
  <c r="U122" i="3"/>
  <c r="M122" i="3"/>
  <c r="U341" i="3"/>
  <c r="M341" i="3"/>
  <c r="U280" i="3"/>
  <c r="U207" i="3"/>
  <c r="U148" i="3"/>
  <c r="U18" i="3"/>
  <c r="U533" i="3"/>
  <c r="O533" i="3"/>
  <c r="U496" i="3"/>
  <c r="U445" i="3"/>
  <c r="M445" i="3"/>
  <c r="U246" i="3"/>
  <c r="U214" i="3"/>
  <c r="U134" i="3"/>
  <c r="M134" i="3"/>
  <c r="U98" i="3"/>
  <c r="U50" i="3"/>
  <c r="M50" i="3"/>
  <c r="U34" i="3"/>
  <c r="U252" i="3"/>
  <c r="C514" i="3"/>
  <c r="V8" i="1"/>
  <c r="V5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55" i="1"/>
  <c r="V63" i="1"/>
  <c r="V7" i="1"/>
  <c r="V12" i="1"/>
  <c r="V20" i="1"/>
  <c r="V24" i="1"/>
  <c r="V32" i="1"/>
  <c r="V36" i="1"/>
  <c r="V44" i="1"/>
  <c r="V48" i="1"/>
  <c r="V56" i="1"/>
  <c r="V60" i="1"/>
  <c r="V61" i="1"/>
  <c r="V6" i="1"/>
  <c r="V11" i="1"/>
  <c r="V15" i="1"/>
  <c r="V19" i="1"/>
  <c r="V23" i="1"/>
  <c r="V27" i="1"/>
  <c r="V31" i="1"/>
  <c r="V35" i="1"/>
  <c r="V39" i="1"/>
  <c r="V43" i="1"/>
  <c r="V47" i="1"/>
  <c r="V51" i="1"/>
  <c r="V59" i="1"/>
  <c r="V3" i="1"/>
  <c r="V16" i="1"/>
  <c r="V28" i="1"/>
  <c r="V40" i="1"/>
  <c r="V52" i="1"/>
  <c r="V64" i="1"/>
  <c r="V4" i="1"/>
  <c r="V9" i="1"/>
  <c r="V13" i="1"/>
  <c r="V17" i="1"/>
  <c r="V21" i="1"/>
  <c r="V25" i="1"/>
  <c r="V29" i="1"/>
  <c r="V33" i="1"/>
  <c r="V37" i="1"/>
  <c r="V41" i="1"/>
  <c r="V45" i="1"/>
  <c r="V49" i="1"/>
  <c r="V53" i="1"/>
  <c r="V57" i="1"/>
  <c r="K105" i="3"/>
  <c r="J105" i="3" s="1"/>
  <c r="O105" i="3" s="1"/>
  <c r="K101" i="3"/>
  <c r="J101" i="3" s="1"/>
  <c r="O101" i="3" s="1"/>
  <c r="K93" i="3"/>
  <c r="J93" i="3" s="1"/>
  <c r="O93" i="3" s="1"/>
  <c r="K61" i="3"/>
  <c r="J61" i="3" s="1"/>
  <c r="O61" i="3" s="1"/>
  <c r="K57" i="3"/>
  <c r="J57" i="3" s="1"/>
  <c r="O57" i="3" s="1"/>
  <c r="K53" i="3"/>
  <c r="J53" i="3" s="1"/>
  <c r="O53" i="3" s="1"/>
  <c r="I122" i="3"/>
  <c r="D131" i="3" s="1"/>
  <c r="K22" i="3"/>
  <c r="J22" i="3" s="1"/>
  <c r="O22" i="3" s="1"/>
  <c r="K26" i="3"/>
  <c r="J26" i="3" s="1"/>
  <c r="O26" i="3" s="1"/>
  <c r="K30" i="3"/>
  <c r="J30" i="3" s="1"/>
  <c r="O30" i="3" s="1"/>
  <c r="K37" i="3"/>
  <c r="J37" i="3" s="1"/>
  <c r="O37" i="3" s="1"/>
  <c r="K41" i="3"/>
  <c r="J41" i="3" s="1"/>
  <c r="O41" i="3" s="1"/>
  <c r="K45" i="3"/>
  <c r="J45" i="3" s="1"/>
  <c r="O45" i="3" s="1"/>
  <c r="K82" i="3"/>
  <c r="J82" i="3" s="1"/>
  <c r="O82" i="3" s="1"/>
  <c r="K62" i="3"/>
  <c r="J62" i="3" s="1"/>
  <c r="O62" i="3" s="1"/>
  <c r="K107" i="3"/>
  <c r="J107" i="3" s="1"/>
  <c r="O107" i="3" s="1"/>
  <c r="K145" i="3"/>
  <c r="J145" i="3" s="1"/>
  <c r="O145" i="3" s="1"/>
  <c r="K173" i="3"/>
  <c r="J173" i="3" s="1"/>
  <c r="O173" i="3" s="1"/>
  <c r="K218" i="3"/>
  <c r="J218" i="3" s="1"/>
  <c r="O218" i="3" s="1"/>
  <c r="K243" i="3"/>
  <c r="J243" i="3" s="1"/>
  <c r="O243" i="3" s="1"/>
  <c r="E243" i="3" s="1"/>
  <c r="K288" i="3"/>
  <c r="J288" i="3" s="1"/>
  <c r="O288" i="3" s="1"/>
  <c r="E288" i="3" s="1"/>
  <c r="K351" i="3"/>
  <c r="J351" i="3" s="1"/>
  <c r="O351" i="3" s="1"/>
  <c r="K423" i="3"/>
  <c r="J423" i="3" s="1"/>
  <c r="O423" i="3" s="1"/>
  <c r="E423" i="3" s="1"/>
  <c r="K488" i="3"/>
  <c r="J488" i="3" s="1"/>
  <c r="O488" i="3" s="1"/>
  <c r="E488" i="3" s="1"/>
  <c r="K541" i="3"/>
  <c r="J541" i="3" s="1"/>
  <c r="O541" i="3" s="1"/>
  <c r="K496" i="3"/>
  <c r="M496" i="3"/>
  <c r="K433" i="3"/>
  <c r="J433" i="3" s="1"/>
  <c r="O433" i="3" s="1"/>
  <c r="K399" i="3"/>
  <c r="J399" i="3" s="1"/>
  <c r="O399" i="3" s="1"/>
  <c r="I240" i="3"/>
  <c r="D243" i="3" s="1"/>
  <c r="M240" i="3"/>
  <c r="I533" i="3"/>
  <c r="M533" i="3"/>
  <c r="K501" i="3"/>
  <c r="J501" i="3" s="1"/>
  <c r="O501" i="3" s="1"/>
  <c r="K467" i="3"/>
  <c r="J467" i="3" s="1"/>
  <c r="O467" i="3" s="1"/>
  <c r="K463" i="3"/>
  <c r="J463" i="3" s="1"/>
  <c r="O463" i="3" s="1"/>
  <c r="I445" i="3"/>
  <c r="K369" i="3"/>
  <c r="J369" i="3" s="1"/>
  <c r="K365" i="3"/>
  <c r="J365" i="3" s="1"/>
  <c r="O365" i="3" s="1"/>
  <c r="K361" i="3"/>
  <c r="J361" i="3" s="1"/>
  <c r="O361" i="3" s="1"/>
  <c r="E349" i="3"/>
  <c r="M349" i="3"/>
  <c r="I280" i="3"/>
  <c r="M280" i="3"/>
  <c r="K248" i="3"/>
  <c r="J248" i="3" s="1"/>
  <c r="O248" i="3" s="1"/>
  <c r="K224" i="3"/>
  <c r="J224" i="3" s="1"/>
  <c r="O224" i="3" s="1"/>
  <c r="K209" i="3"/>
  <c r="J209" i="3" s="1"/>
  <c r="O209" i="3" s="1"/>
  <c r="K137" i="3"/>
  <c r="J137" i="3" s="1"/>
  <c r="O137" i="3" s="1"/>
  <c r="I560" i="3"/>
  <c r="I544" i="3"/>
  <c r="K504" i="3"/>
  <c r="J504" i="3" s="1"/>
  <c r="O504" i="3" s="1"/>
  <c r="K500" i="3"/>
  <c r="J500" i="3" s="1"/>
  <c r="O500" i="3" s="1"/>
  <c r="K478" i="3"/>
  <c r="M478" i="3"/>
  <c r="K466" i="3"/>
  <c r="J466" i="3" s="1"/>
  <c r="O466" i="3" s="1"/>
  <c r="I461" i="3"/>
  <c r="M461" i="3"/>
  <c r="K436" i="3"/>
  <c r="J436" i="3" s="1"/>
  <c r="K402" i="3"/>
  <c r="J402" i="3" s="1"/>
  <c r="O402" i="3" s="1"/>
  <c r="K398" i="3"/>
  <c r="J398" i="3" s="1"/>
  <c r="O398" i="3" s="1"/>
  <c r="K368" i="3"/>
  <c r="J368" i="3" s="1"/>
  <c r="O368" i="3" s="1"/>
  <c r="K364" i="3"/>
  <c r="J364" i="3" s="1"/>
  <c r="O364" i="3" s="1"/>
  <c r="K331" i="3"/>
  <c r="J331" i="3" s="1"/>
  <c r="O331" i="3" s="1"/>
  <c r="K301" i="3"/>
  <c r="J301" i="3" s="1"/>
  <c r="O301" i="3" s="1"/>
  <c r="K270" i="3"/>
  <c r="J270" i="3" s="1"/>
  <c r="K230" i="3"/>
  <c r="J230" i="3" s="1"/>
  <c r="O230" i="3" s="1"/>
  <c r="K223" i="3"/>
  <c r="J223" i="3" s="1"/>
  <c r="O223" i="3" s="1"/>
  <c r="K216" i="3"/>
  <c r="J216" i="3" s="1"/>
  <c r="O216" i="3" s="1"/>
  <c r="K207" i="3"/>
  <c r="M207" i="3"/>
  <c r="K192" i="3"/>
  <c r="J192" i="3" s="1"/>
  <c r="O192" i="3" s="1"/>
  <c r="K188" i="3"/>
  <c r="J188" i="3" s="1"/>
  <c r="O188" i="3" s="1"/>
  <c r="K180" i="3"/>
  <c r="J180" i="3" s="1"/>
  <c r="O180" i="3" s="1"/>
  <c r="K136" i="3"/>
  <c r="J136" i="3" s="1"/>
  <c r="O136" i="3" s="1"/>
  <c r="K104" i="3"/>
  <c r="J104" i="3" s="1"/>
  <c r="O104" i="3" s="1"/>
  <c r="K100" i="3"/>
  <c r="J100" i="3" s="1"/>
  <c r="O100" i="3" s="1"/>
  <c r="K60" i="3"/>
  <c r="J60" i="3" s="1"/>
  <c r="O60" i="3" s="1"/>
  <c r="K56" i="3"/>
  <c r="J56" i="3" s="1"/>
  <c r="O56" i="3" s="1"/>
  <c r="K52" i="3"/>
  <c r="J52" i="3" s="1"/>
  <c r="O52" i="3" s="1"/>
  <c r="K12" i="3"/>
  <c r="J12" i="3" s="1"/>
  <c r="O12" i="3" s="1"/>
  <c r="K8" i="3"/>
  <c r="J8" i="3" s="1"/>
  <c r="O8" i="3" s="1"/>
  <c r="K4" i="3"/>
  <c r="J4" i="3" s="1"/>
  <c r="O4" i="3" s="1"/>
  <c r="K113" i="3"/>
  <c r="J113" i="3" s="1"/>
  <c r="O113" i="3" s="1"/>
  <c r="K117" i="3"/>
  <c r="J117" i="3" s="1"/>
  <c r="O117" i="3" s="1"/>
  <c r="K124" i="3"/>
  <c r="J124" i="3" s="1"/>
  <c r="O124" i="3" s="1"/>
  <c r="K128" i="3"/>
  <c r="J128" i="3" s="1"/>
  <c r="O128" i="3" s="1"/>
  <c r="I65" i="3"/>
  <c r="D77" i="3" s="1"/>
  <c r="M65" i="3"/>
  <c r="K70" i="3"/>
  <c r="J70" i="3" s="1"/>
  <c r="O70" i="3" s="1"/>
  <c r="K141" i="3"/>
  <c r="M141" i="3"/>
  <c r="K155" i="3"/>
  <c r="M155" i="3"/>
  <c r="K169" i="3"/>
  <c r="M169" i="3"/>
  <c r="K27" i="3"/>
  <c r="J27" i="3" s="1"/>
  <c r="O27" i="3" s="1"/>
  <c r="K15" i="3"/>
  <c r="J15" i="3" s="1"/>
  <c r="O15" i="3" s="1"/>
  <c r="K77" i="3"/>
  <c r="J77" i="3" s="1"/>
  <c r="O77" i="3" s="1"/>
  <c r="E77" i="3" s="1"/>
  <c r="K152" i="3"/>
  <c r="J152" i="3" s="1"/>
  <c r="O152" i="3" s="1"/>
  <c r="K198" i="3"/>
  <c r="J198" i="3" s="1"/>
  <c r="O198" i="3" s="1"/>
  <c r="K249" i="3"/>
  <c r="J249" i="3" s="1"/>
  <c r="O249" i="3" s="1"/>
  <c r="E249" i="3" s="1"/>
  <c r="K303" i="3"/>
  <c r="J303" i="3" s="1"/>
  <c r="O303" i="3" s="1"/>
  <c r="K437" i="3"/>
  <c r="J437" i="3" s="1"/>
  <c r="O437" i="3" s="1"/>
  <c r="E437" i="3" s="1"/>
  <c r="K506" i="3"/>
  <c r="J506" i="3" s="1"/>
  <c r="O506" i="3" s="1"/>
  <c r="E506" i="3" s="1"/>
  <c r="K505" i="3"/>
  <c r="J505" i="3" s="1"/>
  <c r="O505" i="3" s="1"/>
  <c r="K403" i="3"/>
  <c r="J403" i="3" s="1"/>
  <c r="O403" i="3" s="1"/>
  <c r="I176" i="3"/>
  <c r="K529" i="3"/>
  <c r="J529" i="3" s="1"/>
  <c r="O529" i="3" s="1"/>
  <c r="I431" i="3"/>
  <c r="M431" i="3"/>
  <c r="K360" i="3"/>
  <c r="K266" i="3"/>
  <c r="J266" i="3" s="1"/>
  <c r="O266" i="3" s="1"/>
  <c r="K196" i="3"/>
  <c r="J196" i="3" s="1"/>
  <c r="O196" i="3" s="1"/>
  <c r="K184" i="3"/>
  <c r="J184" i="3" s="1"/>
  <c r="O184" i="3" s="1"/>
  <c r="K165" i="3"/>
  <c r="J165" i="3" s="1"/>
  <c r="O165" i="3" s="1"/>
  <c r="K92" i="3"/>
  <c r="J92" i="3" s="1"/>
  <c r="O92" i="3" s="1"/>
  <c r="K74" i="3"/>
  <c r="J74" i="3" s="1"/>
  <c r="O74" i="3" s="1"/>
  <c r="I148" i="3"/>
  <c r="D152" i="3" s="1"/>
  <c r="M148" i="3"/>
  <c r="K18" i="3"/>
  <c r="M18" i="3"/>
  <c r="K23" i="3"/>
  <c r="J23" i="3" s="1"/>
  <c r="O23" i="3" s="1"/>
  <c r="K119" i="3"/>
  <c r="J119" i="3" s="1"/>
  <c r="O119" i="3" s="1"/>
  <c r="K225" i="3"/>
  <c r="J225" i="3" s="1"/>
  <c r="O225" i="3" s="1"/>
  <c r="E225" i="3" s="1"/>
  <c r="K370" i="3"/>
  <c r="J370" i="3" s="1"/>
  <c r="O370" i="3" s="1"/>
  <c r="E370" i="3" s="1"/>
  <c r="K548" i="3"/>
  <c r="J548" i="3" s="1"/>
  <c r="O548" i="3" s="1"/>
  <c r="K2" i="3"/>
  <c r="O2" i="3"/>
  <c r="M2" i="3" s="1"/>
  <c r="K556" i="3"/>
  <c r="J556" i="3" s="1"/>
  <c r="O556" i="3" s="1"/>
  <c r="K551" i="3"/>
  <c r="K540" i="3"/>
  <c r="J540" i="3" s="1"/>
  <c r="O540" i="3" s="1"/>
  <c r="K536" i="3"/>
  <c r="J536" i="3" s="1"/>
  <c r="O536" i="3" s="1"/>
  <c r="K520" i="3"/>
  <c r="J520" i="3" s="1"/>
  <c r="O520" i="3" s="1"/>
  <c r="K516" i="3"/>
  <c r="J516" i="3" s="1"/>
  <c r="O516" i="3" s="1"/>
  <c r="K486" i="3"/>
  <c r="J486" i="3" s="1"/>
  <c r="O486" i="3" s="1"/>
  <c r="K482" i="3"/>
  <c r="J482" i="3" s="1"/>
  <c r="O482" i="3" s="1"/>
  <c r="K452" i="3"/>
  <c r="J452" i="3" s="1"/>
  <c r="K448" i="3"/>
  <c r="J448" i="3" s="1"/>
  <c r="O448" i="3" s="1"/>
  <c r="K422" i="3"/>
  <c r="J422" i="3" s="1"/>
  <c r="K418" i="3"/>
  <c r="K413" i="3"/>
  <c r="M413" i="3"/>
  <c r="K401" i="3"/>
  <c r="J401" i="3" s="1"/>
  <c r="O401" i="3" s="1"/>
  <c r="K396" i="3"/>
  <c r="K384" i="3"/>
  <c r="J384" i="3" s="1"/>
  <c r="O384" i="3" s="1"/>
  <c r="K380" i="3"/>
  <c r="J380" i="3" s="1"/>
  <c r="O380" i="3" s="1"/>
  <c r="K367" i="3"/>
  <c r="K363" i="3"/>
  <c r="J363" i="3" s="1"/>
  <c r="O363" i="3" s="1"/>
  <c r="K359" i="3"/>
  <c r="K347" i="3"/>
  <c r="J347" i="3" s="1"/>
  <c r="O347" i="3" s="1"/>
  <c r="K343" i="3"/>
  <c r="J343" i="3" s="1"/>
  <c r="O343" i="3" s="1"/>
  <c r="K330" i="3"/>
  <c r="J330" i="3" s="1"/>
  <c r="O330" i="3" s="1"/>
  <c r="K317" i="3"/>
  <c r="J317" i="3" s="1"/>
  <c r="O317" i="3" s="1"/>
  <c r="K313" i="3"/>
  <c r="J313" i="3" s="1"/>
  <c r="O313" i="3" s="1"/>
  <c r="K300" i="3"/>
  <c r="J300" i="3" s="1"/>
  <c r="O300" i="3" s="1"/>
  <c r="K287" i="3"/>
  <c r="J287" i="3" s="1"/>
  <c r="K283" i="3"/>
  <c r="J283" i="3" s="1"/>
  <c r="O283" i="3" s="1"/>
  <c r="K269" i="3"/>
  <c r="J269" i="3" s="1"/>
  <c r="O269" i="3" s="1"/>
  <c r="K265" i="3"/>
  <c r="J265" i="3" s="1"/>
  <c r="O265" i="3" s="1"/>
  <c r="I246" i="3"/>
  <c r="D249" i="3" s="1"/>
  <c r="M246" i="3"/>
  <c r="I214" i="3"/>
  <c r="D218" i="3" s="1"/>
  <c r="M214" i="3"/>
  <c r="K191" i="3"/>
  <c r="J191" i="3" s="1"/>
  <c r="O191" i="3" s="1"/>
  <c r="K183" i="3"/>
  <c r="J183" i="3" s="1"/>
  <c r="O183" i="3" s="1"/>
  <c r="I134" i="3"/>
  <c r="D138" i="3" s="1"/>
  <c r="I98" i="3"/>
  <c r="M98" i="3"/>
  <c r="I50" i="3"/>
  <c r="D62" i="3" s="1"/>
  <c r="K7" i="3"/>
  <c r="J7" i="3" s="1"/>
  <c r="O7" i="3" s="1"/>
  <c r="K118" i="3"/>
  <c r="J118" i="3" s="1"/>
  <c r="O118" i="3" s="1"/>
  <c r="K125" i="3"/>
  <c r="J125" i="3" s="1"/>
  <c r="O125" i="3" s="1"/>
  <c r="K129" i="3"/>
  <c r="J129" i="3" s="1"/>
  <c r="O129" i="3" s="1"/>
  <c r="K157" i="3"/>
  <c r="J157" i="3" s="1"/>
  <c r="O157" i="3" s="1"/>
  <c r="K171" i="3"/>
  <c r="J171" i="3" s="1"/>
  <c r="O171" i="3" s="1"/>
  <c r="K20" i="3"/>
  <c r="J20" i="3" s="1"/>
  <c r="O20" i="3" s="1"/>
  <c r="K24" i="3"/>
  <c r="J24" i="3" s="1"/>
  <c r="O24" i="3" s="1"/>
  <c r="K28" i="3"/>
  <c r="J28" i="3" s="1"/>
  <c r="O28" i="3" s="1"/>
  <c r="K34" i="3"/>
  <c r="M34" i="3"/>
  <c r="K39" i="3"/>
  <c r="J39" i="3" s="1"/>
  <c r="O39" i="3" s="1"/>
  <c r="K43" i="3"/>
  <c r="J43" i="3" s="1"/>
  <c r="O43" i="3" s="1"/>
  <c r="K84" i="3"/>
  <c r="J84" i="3" s="1"/>
  <c r="O84" i="3" s="1"/>
  <c r="I252" i="3"/>
  <c r="D255" i="3" s="1"/>
  <c r="M252" i="3"/>
  <c r="K31" i="3"/>
  <c r="J31" i="3" s="1"/>
  <c r="O31" i="3" s="1"/>
  <c r="E31" i="3" s="1"/>
  <c r="K86" i="3"/>
  <c r="J86" i="3" s="1"/>
  <c r="O86" i="3" s="1"/>
  <c r="K131" i="3"/>
  <c r="J131" i="3" s="1"/>
  <c r="O131" i="3" s="1"/>
  <c r="E131" i="3" s="1"/>
  <c r="K159" i="3"/>
  <c r="J159" i="3" s="1"/>
  <c r="O159" i="3" s="1"/>
  <c r="E159" i="3" s="1"/>
  <c r="K204" i="3"/>
  <c r="J204" i="3" s="1"/>
  <c r="O204" i="3" s="1"/>
  <c r="K231" i="3"/>
  <c r="J231" i="3" s="1"/>
  <c r="O231" i="3" s="1"/>
  <c r="K255" i="3"/>
  <c r="J255" i="3" s="1"/>
  <c r="O255" i="3" s="1"/>
  <c r="E255" i="3" s="1"/>
  <c r="K320" i="3"/>
  <c r="J320" i="3" s="1"/>
  <c r="O320" i="3" s="1"/>
  <c r="E320" i="3" s="1"/>
  <c r="K388" i="3"/>
  <c r="J388" i="3" s="1"/>
  <c r="O388" i="3" s="1"/>
  <c r="E388" i="3" s="1"/>
  <c r="K453" i="3"/>
  <c r="J453" i="3" s="1"/>
  <c r="O453" i="3" s="1"/>
  <c r="E453" i="3" s="1"/>
  <c r="K523" i="3"/>
  <c r="J523" i="3" s="1"/>
  <c r="O523" i="3" s="1"/>
  <c r="E523" i="3" s="1"/>
  <c r="K557" i="3"/>
  <c r="J557" i="3" s="1"/>
  <c r="O557" i="3" s="1"/>
  <c r="E555" i="3"/>
  <c r="M555" i="3"/>
  <c r="I526" i="3"/>
  <c r="I514" i="3"/>
  <c r="E485" i="3"/>
  <c r="M485" i="3"/>
  <c r="E468" i="3"/>
  <c r="M468" i="3"/>
  <c r="E417" i="3"/>
  <c r="M417" i="3"/>
  <c r="I378" i="3"/>
  <c r="I341" i="3"/>
  <c r="I328" i="3"/>
  <c r="I311" i="3"/>
  <c r="I263" i="3"/>
  <c r="I228" i="3"/>
  <c r="D231" i="3" s="1"/>
  <c r="M228" i="3"/>
  <c r="I221" i="3"/>
  <c r="D225" i="3" s="1"/>
  <c r="M221" i="3"/>
  <c r="I201" i="3"/>
  <c r="D204" i="3" s="1"/>
  <c r="M201" i="3"/>
  <c r="I162" i="3"/>
  <c r="M162" i="3"/>
  <c r="I89" i="3"/>
  <c r="D95" i="3" s="1"/>
  <c r="I234" i="3"/>
  <c r="D237" i="3" s="1"/>
  <c r="M234" i="3"/>
  <c r="K110" i="3"/>
  <c r="M110" i="3"/>
  <c r="K115" i="3"/>
  <c r="J115" i="3" s="1"/>
  <c r="O115" i="3" s="1"/>
  <c r="K68" i="3"/>
  <c r="J68" i="3" s="1"/>
  <c r="O68" i="3" s="1"/>
  <c r="K72" i="3"/>
  <c r="J72" i="3" s="1"/>
  <c r="O72" i="3" s="1"/>
  <c r="K76" i="3"/>
  <c r="J76" i="3" s="1"/>
  <c r="O76" i="3" s="1"/>
  <c r="K144" i="3"/>
  <c r="J144" i="3" s="1"/>
  <c r="O144" i="3" s="1"/>
  <c r="K158" i="3"/>
  <c r="J158" i="3" s="1"/>
  <c r="O158" i="3" s="1"/>
  <c r="K172" i="3"/>
  <c r="J172" i="3" s="1"/>
  <c r="O172" i="3" s="1"/>
  <c r="I80" i="3"/>
  <c r="D86" i="3" s="1"/>
  <c r="M80" i="3"/>
  <c r="K85" i="3"/>
  <c r="J85" i="3" s="1"/>
  <c r="O85" i="3" s="1"/>
  <c r="K47" i="3"/>
  <c r="J47" i="3" s="1"/>
  <c r="O47" i="3" s="1"/>
  <c r="K95" i="3"/>
  <c r="J95" i="3" s="1"/>
  <c r="O95" i="3" s="1"/>
  <c r="E95" i="3" s="1"/>
  <c r="K138" i="3"/>
  <c r="J138" i="3" s="1"/>
  <c r="O138" i="3" s="1"/>
  <c r="E138" i="3" s="1"/>
  <c r="K166" i="3"/>
  <c r="J166" i="3" s="1"/>
  <c r="O166" i="3" s="1"/>
  <c r="K211" i="3"/>
  <c r="J211" i="3" s="1"/>
  <c r="O211" i="3" s="1"/>
  <c r="E211" i="3" s="1"/>
  <c r="K237" i="3"/>
  <c r="J237" i="3" s="1"/>
  <c r="O237" i="3" s="1"/>
  <c r="E237" i="3" s="1"/>
  <c r="K271" i="3"/>
  <c r="J271" i="3" s="1"/>
  <c r="O271" i="3" s="1"/>
  <c r="E271" i="3" s="1"/>
  <c r="K333" i="3"/>
  <c r="J333" i="3" s="1"/>
  <c r="O333" i="3" s="1"/>
  <c r="E333" i="3" s="1"/>
  <c r="K405" i="3"/>
  <c r="J405" i="3" s="1"/>
  <c r="O405" i="3" s="1"/>
  <c r="E405" i="3" s="1"/>
  <c r="K470" i="3"/>
  <c r="J470" i="3" s="1"/>
  <c r="O470" i="3" s="1"/>
  <c r="E470" i="3" s="1"/>
  <c r="K530" i="3"/>
  <c r="J530" i="3" s="1"/>
  <c r="O530" i="3" s="1"/>
  <c r="K564" i="3"/>
  <c r="J564" i="3" s="1"/>
  <c r="O564" i="3" s="1"/>
  <c r="I141" i="3"/>
  <c r="D145" i="3" s="1"/>
  <c r="I478" i="3"/>
  <c r="I110" i="3"/>
  <c r="D119" i="3" s="1"/>
  <c r="I359" i="3"/>
  <c r="I496" i="3"/>
  <c r="I169" i="3"/>
  <c r="D173" i="3" s="1"/>
  <c r="I413" i="3"/>
  <c r="I18" i="3"/>
  <c r="D31" i="3" s="1"/>
  <c r="I155" i="3"/>
  <c r="D159" i="3" s="1"/>
  <c r="I551" i="3"/>
  <c r="I34" i="3"/>
  <c r="D47" i="3" s="1"/>
  <c r="I207" i="3"/>
  <c r="D211" i="3" s="1"/>
  <c r="I396" i="3"/>
  <c r="I2" i="3"/>
  <c r="D15" i="3" s="1"/>
  <c r="K526" i="3"/>
  <c r="K346" i="3"/>
  <c r="J346" i="3" s="1"/>
  <c r="K286" i="3"/>
  <c r="J286" i="3" s="1"/>
  <c r="K38" i="3"/>
  <c r="J38" i="3" s="1"/>
  <c r="K42" i="3"/>
  <c r="J42" i="3" s="1"/>
  <c r="K46" i="3"/>
  <c r="J46" i="3" s="1"/>
  <c r="K546" i="3"/>
  <c r="J546" i="3" s="1"/>
  <c r="K349" i="3"/>
  <c r="K345" i="3"/>
  <c r="J345" i="3" s="1"/>
  <c r="K319" i="3"/>
  <c r="J319" i="3" s="1"/>
  <c r="K315" i="3"/>
  <c r="J315" i="3" s="1"/>
  <c r="K285" i="3"/>
  <c r="J285" i="3" s="1"/>
  <c r="K242" i="3"/>
  <c r="J242" i="3" s="1"/>
  <c r="K221" i="3"/>
  <c r="K106" i="3"/>
  <c r="J106" i="3" s="1"/>
  <c r="K102" i="3"/>
  <c r="J102" i="3" s="1"/>
  <c r="K94" i="3"/>
  <c r="J94" i="3" s="1"/>
  <c r="K89" i="3"/>
  <c r="K58" i="3"/>
  <c r="J58" i="3" s="1"/>
  <c r="K54" i="3"/>
  <c r="J54" i="3" s="1"/>
  <c r="K114" i="3"/>
  <c r="J114" i="3" s="1"/>
  <c r="K126" i="3"/>
  <c r="J126" i="3" s="1"/>
  <c r="K65" i="3"/>
  <c r="K71" i="3"/>
  <c r="J71" i="3" s="1"/>
  <c r="K75" i="3"/>
  <c r="J75" i="3" s="1"/>
  <c r="K148" i="3"/>
  <c r="K562" i="3"/>
  <c r="J562" i="3" s="1"/>
  <c r="K555" i="3"/>
  <c r="K502" i="3"/>
  <c r="J502" i="3" s="1"/>
  <c r="K498" i="3"/>
  <c r="J498" i="3" s="1"/>
  <c r="K481" i="3"/>
  <c r="J481" i="3" s="1"/>
  <c r="K464" i="3"/>
  <c r="J464" i="3" s="1"/>
  <c r="K447" i="3"/>
  <c r="J447" i="3" s="1"/>
  <c r="K421" i="3"/>
  <c r="J421" i="3" s="1"/>
  <c r="K417" i="3"/>
  <c r="K400" i="3"/>
  <c r="J400" i="3" s="1"/>
  <c r="K383" i="3"/>
  <c r="J383" i="3" s="1"/>
  <c r="K350" i="3"/>
  <c r="J350" i="3" s="1"/>
  <c r="K341" i="3"/>
  <c r="K229" i="3"/>
  <c r="K195" i="3"/>
  <c r="J195" i="3" s="1"/>
  <c r="K187" i="3"/>
  <c r="J187" i="3" s="1"/>
  <c r="K179" i="3"/>
  <c r="J179" i="3" s="1"/>
  <c r="K164" i="3"/>
  <c r="J164" i="3" s="1"/>
  <c r="K134" i="3"/>
  <c r="K103" i="3"/>
  <c r="J103" i="3" s="1"/>
  <c r="K98" i="3"/>
  <c r="K91" i="3"/>
  <c r="J91" i="3" s="1"/>
  <c r="K59" i="3"/>
  <c r="J59" i="3" s="1"/>
  <c r="K55" i="3"/>
  <c r="J55" i="3" s="1"/>
  <c r="K50" i="3"/>
  <c r="K11" i="3"/>
  <c r="J11" i="3" s="1"/>
  <c r="K235" i="3"/>
  <c r="K236" i="3"/>
  <c r="J236" i="3" s="1"/>
  <c r="K130" i="3"/>
  <c r="J130" i="3" s="1"/>
  <c r="K67" i="3"/>
  <c r="J67" i="3" s="1"/>
  <c r="K69" i="3"/>
  <c r="J69" i="3" s="1"/>
  <c r="K73" i="3"/>
  <c r="J73" i="3" s="1"/>
  <c r="K143" i="3"/>
  <c r="J143" i="3" s="1"/>
  <c r="K151" i="3"/>
  <c r="J151" i="3" s="1"/>
  <c r="K80" i="3"/>
  <c r="K83" i="3"/>
  <c r="J83" i="3" s="1"/>
  <c r="K547" i="3"/>
  <c r="J547" i="3" s="1"/>
  <c r="K539" i="3"/>
  <c r="J539" i="3" s="1"/>
  <c r="K535" i="3"/>
  <c r="J535" i="3" s="1"/>
  <c r="K519" i="3"/>
  <c r="J519" i="3" s="1"/>
  <c r="K514" i="3"/>
  <c r="K485" i="3"/>
  <c r="K468" i="3"/>
  <c r="K451" i="3"/>
  <c r="J451" i="3" s="1"/>
  <c r="K434" i="3"/>
  <c r="J434" i="3" s="1"/>
  <c r="K404" i="3"/>
  <c r="J404" i="3" s="1"/>
  <c r="K387" i="3"/>
  <c r="J387" i="3" s="1"/>
  <c r="K378" i="3"/>
  <c r="K366" i="3"/>
  <c r="J366" i="3" s="1"/>
  <c r="K362" i="3"/>
  <c r="J362" i="3" s="1"/>
  <c r="K328" i="3"/>
  <c r="K316" i="3"/>
  <c r="J316" i="3" s="1"/>
  <c r="K311" i="3"/>
  <c r="K299" i="3"/>
  <c r="J299" i="3" s="1"/>
  <c r="K282" i="3"/>
  <c r="J282" i="3" s="1"/>
  <c r="K268" i="3"/>
  <c r="J268" i="3" s="1"/>
  <c r="K263" i="3"/>
  <c r="K246" i="3"/>
  <c r="K222" i="3"/>
  <c r="K214" i="3"/>
  <c r="K203" i="3"/>
  <c r="J203" i="3" s="1"/>
  <c r="K254" i="3"/>
  <c r="J254" i="3" s="1"/>
  <c r="K267" i="3"/>
  <c r="J267" i="3" s="1"/>
  <c r="K201" i="3"/>
  <c r="K162" i="3"/>
  <c r="K116" i="3"/>
  <c r="J116" i="3" s="1"/>
  <c r="K150" i="3"/>
  <c r="J150" i="3" s="1"/>
  <c r="K29" i="3"/>
  <c r="J29" i="3" s="1"/>
  <c r="K36" i="3"/>
  <c r="J36" i="3" s="1"/>
  <c r="K40" i="3"/>
  <c r="J40" i="3" s="1"/>
  <c r="K44" i="3"/>
  <c r="J44" i="3" s="1"/>
  <c r="K252" i="3"/>
  <c r="K522" i="3"/>
  <c r="J522" i="3" s="1"/>
  <c r="K518" i="3"/>
  <c r="J518" i="3" s="1"/>
  <c r="K228" i="3"/>
  <c r="K194" i="3"/>
  <c r="J194" i="3" s="1"/>
  <c r="K122" i="3"/>
  <c r="K544" i="3"/>
  <c r="K521" i="3"/>
  <c r="J521" i="3" s="1"/>
  <c r="K517" i="3"/>
  <c r="J517" i="3" s="1"/>
  <c r="K487" i="3"/>
  <c r="J487" i="3" s="1"/>
  <c r="K483" i="3"/>
  <c r="J483" i="3" s="1"/>
  <c r="K449" i="3"/>
  <c r="J449" i="3" s="1"/>
  <c r="K348" i="3"/>
  <c r="J348" i="3" s="1"/>
  <c r="K217" i="3"/>
  <c r="J217" i="3" s="1"/>
  <c r="K189" i="3"/>
  <c r="J189" i="3" s="1"/>
  <c r="K560" i="3"/>
  <c r="K554" i="3"/>
  <c r="J554" i="3" s="1"/>
  <c r="K538" i="3"/>
  <c r="J538" i="3" s="1"/>
  <c r="K533" i="3"/>
  <c r="K484" i="3"/>
  <c r="J484" i="3" s="1"/>
  <c r="K480" i="3"/>
  <c r="J480" i="3" s="1"/>
  <c r="K450" i="3"/>
  <c r="J450" i="3" s="1"/>
  <c r="K445" i="3"/>
  <c r="K420" i="3"/>
  <c r="J420" i="3" s="1"/>
  <c r="K416" i="3"/>
  <c r="J416" i="3" s="1"/>
  <c r="K386" i="3"/>
  <c r="J386" i="3" s="1"/>
  <c r="K382" i="3"/>
  <c r="J382" i="3" s="1"/>
  <c r="K332" i="3"/>
  <c r="J332" i="3" s="1"/>
  <c r="K302" i="3"/>
  <c r="J302" i="3" s="1"/>
  <c r="K298" i="3"/>
  <c r="J298" i="3" s="1"/>
  <c r="K280" i="3"/>
  <c r="K210" i="3"/>
  <c r="J210" i="3" s="1"/>
  <c r="K190" i="3"/>
  <c r="J190" i="3" s="1"/>
  <c r="K186" i="3"/>
  <c r="J186" i="3" s="1"/>
  <c r="K182" i="3"/>
  <c r="J182" i="3" s="1"/>
  <c r="K178" i="3"/>
  <c r="J178" i="3" s="1"/>
  <c r="K14" i="3"/>
  <c r="J14" i="3" s="1"/>
  <c r="K10" i="3"/>
  <c r="J10" i="3" s="1"/>
  <c r="K6" i="3"/>
  <c r="J6" i="3" s="1"/>
  <c r="K234" i="3"/>
  <c r="K112" i="3"/>
  <c r="J112" i="3" s="1"/>
  <c r="K127" i="3"/>
  <c r="J127" i="3" s="1"/>
  <c r="K21" i="3"/>
  <c r="J21" i="3" s="1"/>
  <c r="K25" i="3"/>
  <c r="J25" i="3" s="1"/>
  <c r="K553" i="3"/>
  <c r="J553" i="3" s="1"/>
  <c r="K537" i="3"/>
  <c r="J537" i="3" s="1"/>
  <c r="K461" i="3"/>
  <c r="K431" i="3"/>
  <c r="K419" i="3"/>
  <c r="J419" i="3" s="1"/>
  <c r="K415" i="3"/>
  <c r="J415" i="3" s="1"/>
  <c r="K385" i="3"/>
  <c r="J385" i="3" s="1"/>
  <c r="K381" i="3"/>
  <c r="J381" i="3" s="1"/>
  <c r="K344" i="3"/>
  <c r="J344" i="3" s="1"/>
  <c r="K318" i="3"/>
  <c r="J318" i="3" s="1"/>
  <c r="K314" i="3"/>
  <c r="J314" i="3" s="1"/>
  <c r="K284" i="3"/>
  <c r="J284" i="3" s="1"/>
  <c r="K240" i="3"/>
  <c r="K197" i="3"/>
  <c r="J197" i="3" s="1"/>
  <c r="K193" i="3"/>
  <c r="J193" i="3" s="1"/>
  <c r="K185" i="3"/>
  <c r="J185" i="3" s="1"/>
  <c r="K181" i="3"/>
  <c r="J181" i="3" s="1"/>
  <c r="K176" i="3"/>
  <c r="K13" i="3"/>
  <c r="J13" i="3" s="1"/>
  <c r="K9" i="3"/>
  <c r="J9" i="3" s="1"/>
  <c r="K5" i="3"/>
  <c r="J5" i="3" s="1"/>
  <c r="K563" i="3"/>
  <c r="J563" i="3" s="1"/>
  <c r="K528" i="3"/>
  <c r="J528" i="3" s="1"/>
  <c r="K503" i="3"/>
  <c r="J503" i="3" s="1"/>
  <c r="K499" i="3"/>
  <c r="J499" i="3" s="1"/>
  <c r="K469" i="3"/>
  <c r="J469" i="3" s="1"/>
  <c r="K465" i="3"/>
  <c r="J465" i="3" s="1"/>
  <c r="K435" i="3"/>
  <c r="J435" i="3" s="1"/>
  <c r="C89" i="3"/>
  <c r="V2" i="1"/>
  <c r="C2" i="3"/>
  <c r="U46" i="2"/>
  <c r="U47" i="2"/>
  <c r="U45" i="2"/>
  <c r="E145" i="3" l="1"/>
  <c r="E47" i="3"/>
  <c r="E15" i="3"/>
  <c r="E166" i="3"/>
  <c r="D166" i="3"/>
  <c r="E231" i="3"/>
  <c r="E86" i="3"/>
  <c r="D107" i="3"/>
  <c r="E107" i="3" s="1"/>
  <c r="E119" i="3"/>
  <c r="D198" i="3"/>
  <c r="E198" i="3" s="1"/>
  <c r="E152" i="3"/>
  <c r="E218" i="3"/>
  <c r="E62" i="3"/>
  <c r="E204" i="3"/>
  <c r="E173" i="3"/>
  <c r="O318" i="3"/>
  <c r="E318" i="3" s="1"/>
  <c r="O415" i="3"/>
  <c r="E415" i="3" s="1"/>
  <c r="O10" i="3"/>
  <c r="M10" i="3" s="1"/>
  <c r="O298" i="3"/>
  <c r="E298" i="3" s="1"/>
  <c r="O538" i="3"/>
  <c r="E538" i="3" s="1"/>
  <c r="O36" i="3"/>
  <c r="E36" i="3" s="1"/>
  <c r="O203" i="3"/>
  <c r="E203" i="3" s="1"/>
  <c r="F205" i="3" s="1"/>
  <c r="R201" i="3" s="1"/>
  <c r="U40" i="1" s="1"/>
  <c r="O562" i="3"/>
  <c r="M562" i="3" s="1"/>
  <c r="O465" i="3"/>
  <c r="M465" i="3" s="1"/>
  <c r="O528" i="3"/>
  <c r="E528" i="3" s="1"/>
  <c r="O13" i="3"/>
  <c r="M13" i="3" s="1"/>
  <c r="O193" i="3"/>
  <c r="M193" i="3" s="1"/>
  <c r="O314" i="3"/>
  <c r="E314" i="3" s="1"/>
  <c r="O385" i="3"/>
  <c r="E385" i="3" s="1"/>
  <c r="O21" i="3"/>
  <c r="E21" i="3" s="1"/>
  <c r="O6" i="3"/>
  <c r="E6" i="3" s="1"/>
  <c r="O182" i="3"/>
  <c r="E182" i="3" s="1"/>
  <c r="O382" i="3"/>
  <c r="M382" i="3" s="1"/>
  <c r="O189" i="3"/>
  <c r="M189" i="3" s="1"/>
  <c r="O483" i="3"/>
  <c r="E483" i="3" s="1"/>
  <c r="O518" i="3"/>
  <c r="E518" i="3" s="1"/>
  <c r="O40" i="3"/>
  <c r="E40" i="3" s="1"/>
  <c r="O116" i="3"/>
  <c r="E116" i="3" s="1"/>
  <c r="O254" i="3"/>
  <c r="E254" i="3" s="1"/>
  <c r="F256" i="3" s="1"/>
  <c r="R252" i="3" s="1"/>
  <c r="U58" i="1" s="1"/>
  <c r="O299" i="3"/>
  <c r="M299" i="3" s="1"/>
  <c r="O362" i="3"/>
  <c r="E362" i="3" s="1"/>
  <c r="O539" i="3"/>
  <c r="M539" i="3" s="1"/>
  <c r="O151" i="3"/>
  <c r="M151" i="3" s="1"/>
  <c r="O67" i="3"/>
  <c r="E67" i="3" s="1"/>
  <c r="O11" i="3"/>
  <c r="E11" i="3" s="1"/>
  <c r="O91" i="3"/>
  <c r="M91" i="3" s="1"/>
  <c r="O164" i="3"/>
  <c r="M164" i="3" s="1"/>
  <c r="O400" i="3"/>
  <c r="E400" i="3" s="1"/>
  <c r="O464" i="3"/>
  <c r="M464" i="3" s="1"/>
  <c r="O71" i="3"/>
  <c r="M71" i="3" s="1"/>
  <c r="O54" i="3"/>
  <c r="M54" i="3" s="1"/>
  <c r="O102" i="3"/>
  <c r="E102" i="3" s="1"/>
  <c r="O285" i="3"/>
  <c r="E285" i="3" s="1"/>
  <c r="O38" i="3"/>
  <c r="E38" i="3" s="1"/>
  <c r="O537" i="3"/>
  <c r="E537" i="3" s="1"/>
  <c r="O127" i="3"/>
  <c r="E127" i="3" s="1"/>
  <c r="O186" i="3"/>
  <c r="M186" i="3" s="1"/>
  <c r="O386" i="3"/>
  <c r="E386" i="3" s="1"/>
  <c r="O450" i="3"/>
  <c r="M450" i="3" s="1"/>
  <c r="O143" i="3"/>
  <c r="M143" i="3" s="1"/>
  <c r="O130" i="3"/>
  <c r="E130" i="3" s="1"/>
  <c r="O58" i="3"/>
  <c r="E58" i="3" s="1"/>
  <c r="O315" i="3"/>
  <c r="E315" i="3" s="1"/>
  <c r="O286" i="3"/>
  <c r="E286" i="3" s="1"/>
  <c r="O499" i="3"/>
  <c r="M499" i="3" s="1"/>
  <c r="O553" i="3"/>
  <c r="E553" i="3" s="1"/>
  <c r="O190" i="3"/>
  <c r="M190" i="3" s="1"/>
  <c r="O416" i="3"/>
  <c r="M416" i="3" s="1"/>
  <c r="O480" i="3"/>
  <c r="E480" i="3" s="1"/>
  <c r="O29" i="3"/>
  <c r="E29" i="3" s="1"/>
  <c r="O268" i="3"/>
  <c r="E268" i="3" s="1"/>
  <c r="O316" i="3"/>
  <c r="E316" i="3" s="1"/>
  <c r="O451" i="3"/>
  <c r="E451" i="3" s="1"/>
  <c r="O519" i="3"/>
  <c r="M519" i="3" s="1"/>
  <c r="O83" i="3"/>
  <c r="E83" i="3" s="1"/>
  <c r="O73" i="3"/>
  <c r="M73" i="3" s="1"/>
  <c r="O236" i="3"/>
  <c r="M236" i="3" s="1"/>
  <c r="O55" i="3"/>
  <c r="M55" i="3" s="1"/>
  <c r="O103" i="3"/>
  <c r="M103" i="3" s="1"/>
  <c r="O187" i="3"/>
  <c r="E187" i="3" s="1"/>
  <c r="O421" i="3"/>
  <c r="E421" i="3" s="1"/>
  <c r="O498" i="3"/>
  <c r="M498" i="3" s="1"/>
  <c r="O126" i="3"/>
  <c r="E126" i="3" s="1"/>
  <c r="O46" i="3"/>
  <c r="E46" i="3" s="1"/>
  <c r="O346" i="3"/>
  <c r="M346" i="3" s="1"/>
  <c r="O563" i="3"/>
  <c r="M563" i="3" s="1"/>
  <c r="O197" i="3"/>
  <c r="E197" i="3" s="1"/>
  <c r="O217" i="3"/>
  <c r="M217" i="3" s="1"/>
  <c r="O522" i="3"/>
  <c r="M522" i="3" s="1"/>
  <c r="O366" i="3"/>
  <c r="M366" i="3" s="1"/>
  <c r="O434" i="3"/>
  <c r="M434" i="3" s="1"/>
  <c r="O547" i="3"/>
  <c r="M547" i="3" s="1"/>
  <c r="O179" i="3"/>
  <c r="E179" i="3" s="1"/>
  <c r="O481" i="3"/>
  <c r="M481" i="3" s="1"/>
  <c r="O106" i="3"/>
  <c r="M106" i="3" s="1"/>
  <c r="O546" i="3"/>
  <c r="E546" i="3" s="1"/>
  <c r="O5" i="3"/>
  <c r="E5" i="3" s="1"/>
  <c r="O181" i="3"/>
  <c r="E181" i="3" s="1"/>
  <c r="O344" i="3"/>
  <c r="E344" i="3" s="1"/>
  <c r="O419" i="3"/>
  <c r="E419" i="3" s="1"/>
  <c r="O112" i="3"/>
  <c r="M112" i="3" s="1"/>
  <c r="O14" i="3"/>
  <c r="E14" i="3" s="1"/>
  <c r="O554" i="3"/>
  <c r="M554" i="3" s="1"/>
  <c r="O348" i="3"/>
  <c r="E348" i="3" s="1"/>
  <c r="O517" i="3"/>
  <c r="M517" i="3" s="1"/>
  <c r="O194" i="3"/>
  <c r="M194" i="3" s="1"/>
  <c r="O435" i="3"/>
  <c r="M435" i="3" s="1"/>
  <c r="O503" i="3"/>
  <c r="M503" i="3" s="1"/>
  <c r="O9" i="3"/>
  <c r="E9" i="3" s="1"/>
  <c r="O185" i="3"/>
  <c r="E185" i="3" s="1"/>
  <c r="O284" i="3"/>
  <c r="E284" i="3" s="1"/>
  <c r="O381" i="3"/>
  <c r="E381" i="3" s="1"/>
  <c r="O25" i="3"/>
  <c r="M25" i="3" s="1"/>
  <c r="O178" i="3"/>
  <c r="M178" i="3" s="1"/>
  <c r="O210" i="3"/>
  <c r="M210" i="3" s="1"/>
  <c r="O420" i="3"/>
  <c r="E420" i="3" s="1"/>
  <c r="O484" i="3"/>
  <c r="E484" i="3" s="1"/>
  <c r="O449" i="3"/>
  <c r="M449" i="3" s="1"/>
  <c r="O521" i="3"/>
  <c r="E521" i="3" s="1"/>
  <c r="O44" i="3"/>
  <c r="M44" i="3" s="1"/>
  <c r="O150" i="3"/>
  <c r="M150" i="3" s="1"/>
  <c r="O267" i="3"/>
  <c r="E267" i="3" s="1"/>
  <c r="O282" i="3"/>
  <c r="E282" i="3" s="1"/>
  <c r="O535" i="3"/>
  <c r="M535" i="3" s="1"/>
  <c r="O69" i="3"/>
  <c r="E69" i="3" s="1"/>
  <c r="O59" i="3"/>
  <c r="E59" i="3" s="1"/>
  <c r="O195" i="3"/>
  <c r="M195" i="3" s="1"/>
  <c r="O383" i="3"/>
  <c r="M383" i="3" s="1"/>
  <c r="O447" i="3"/>
  <c r="M447" i="3" s="1"/>
  <c r="O502" i="3"/>
  <c r="M502" i="3" s="1"/>
  <c r="O75" i="3"/>
  <c r="M75" i="3" s="1"/>
  <c r="O114" i="3"/>
  <c r="M114" i="3" s="1"/>
  <c r="O94" i="3"/>
  <c r="E94" i="3" s="1"/>
  <c r="O242" i="3"/>
  <c r="M242" i="3" s="1"/>
  <c r="O345" i="3"/>
  <c r="M345" i="3" s="1"/>
  <c r="O42" i="3"/>
  <c r="E42" i="3" s="1"/>
  <c r="E27" i="3"/>
  <c r="M27" i="3"/>
  <c r="E70" i="3"/>
  <c r="M70" i="3"/>
  <c r="E117" i="3"/>
  <c r="M117" i="3"/>
  <c r="E158" i="3"/>
  <c r="M158" i="3"/>
  <c r="E165" i="3"/>
  <c r="M165" i="3"/>
  <c r="E41" i="3"/>
  <c r="M41" i="3"/>
  <c r="E30" i="3"/>
  <c r="M30" i="3"/>
  <c r="E101" i="3"/>
  <c r="M101" i="3"/>
  <c r="E191" i="3"/>
  <c r="M191" i="3"/>
  <c r="E269" i="3"/>
  <c r="M269" i="3"/>
  <c r="E313" i="3"/>
  <c r="M313" i="3"/>
  <c r="E330" i="3"/>
  <c r="M330" i="3"/>
  <c r="E363" i="3"/>
  <c r="M363" i="3"/>
  <c r="E380" i="3"/>
  <c r="M380" i="3"/>
  <c r="E486" i="3"/>
  <c r="M486" i="3"/>
  <c r="E520" i="3"/>
  <c r="M520" i="3"/>
  <c r="E540" i="3"/>
  <c r="M540" i="3"/>
  <c r="E556" i="3"/>
  <c r="M556" i="3"/>
  <c r="E124" i="3"/>
  <c r="M124" i="3"/>
  <c r="E113" i="3"/>
  <c r="M113" i="3"/>
  <c r="E4" i="3"/>
  <c r="M4" i="3"/>
  <c r="E12" i="3"/>
  <c r="M12" i="3"/>
  <c r="E56" i="3"/>
  <c r="M56" i="3"/>
  <c r="E100" i="3"/>
  <c r="M100" i="3"/>
  <c r="E136" i="3"/>
  <c r="M136" i="3"/>
  <c r="E188" i="3"/>
  <c r="M188" i="3"/>
  <c r="E223" i="3"/>
  <c r="M223" i="3"/>
  <c r="E331" i="3"/>
  <c r="M331" i="3"/>
  <c r="E368" i="3"/>
  <c r="M368" i="3"/>
  <c r="E402" i="3"/>
  <c r="M402" i="3"/>
  <c r="E504" i="3"/>
  <c r="M504" i="3"/>
  <c r="E137" i="3"/>
  <c r="M137" i="3"/>
  <c r="E224" i="3"/>
  <c r="M224" i="3"/>
  <c r="E361" i="3"/>
  <c r="M361" i="3"/>
  <c r="E463" i="3"/>
  <c r="M463" i="3"/>
  <c r="E501" i="3"/>
  <c r="M501" i="3"/>
  <c r="E433" i="3"/>
  <c r="M433" i="3"/>
  <c r="E84" i="3"/>
  <c r="M84" i="3"/>
  <c r="E39" i="3"/>
  <c r="M39" i="3"/>
  <c r="E28" i="3"/>
  <c r="M28" i="3"/>
  <c r="E20" i="3"/>
  <c r="M20" i="3"/>
  <c r="E157" i="3"/>
  <c r="M157" i="3"/>
  <c r="E125" i="3"/>
  <c r="M125" i="3"/>
  <c r="E7" i="3"/>
  <c r="M7" i="3"/>
  <c r="E183" i="3"/>
  <c r="M183" i="3"/>
  <c r="E265" i="3"/>
  <c r="M265" i="3"/>
  <c r="E283" i="3"/>
  <c r="M283" i="3"/>
  <c r="E300" i="3"/>
  <c r="M300" i="3"/>
  <c r="E317" i="3"/>
  <c r="M317" i="3"/>
  <c r="E343" i="3"/>
  <c r="M343" i="3"/>
  <c r="E367" i="3"/>
  <c r="M367" i="3"/>
  <c r="E384" i="3"/>
  <c r="M384" i="3"/>
  <c r="E401" i="3"/>
  <c r="M401" i="3"/>
  <c r="E418" i="3"/>
  <c r="M418" i="3"/>
  <c r="E448" i="3"/>
  <c r="M448" i="3"/>
  <c r="E482" i="3"/>
  <c r="M482" i="3"/>
  <c r="E516" i="3"/>
  <c r="M516" i="3"/>
  <c r="E536" i="3"/>
  <c r="M536" i="3"/>
  <c r="E128" i="3"/>
  <c r="M128" i="3"/>
  <c r="E8" i="3"/>
  <c r="M8" i="3"/>
  <c r="E76" i="3"/>
  <c r="M76" i="3"/>
  <c r="E68" i="3"/>
  <c r="M68" i="3"/>
  <c r="E74" i="3"/>
  <c r="M74" i="3"/>
  <c r="E196" i="3"/>
  <c r="M196" i="3"/>
  <c r="E403" i="3"/>
  <c r="M403" i="3"/>
  <c r="E82" i="3"/>
  <c r="M82" i="3"/>
  <c r="E22" i="3"/>
  <c r="M22" i="3"/>
  <c r="E53" i="3"/>
  <c r="M53" i="3"/>
  <c r="E61" i="3"/>
  <c r="M61" i="3"/>
  <c r="E43" i="3"/>
  <c r="M43" i="3"/>
  <c r="E24" i="3"/>
  <c r="M24" i="3"/>
  <c r="E171" i="3"/>
  <c r="M171" i="3"/>
  <c r="E129" i="3"/>
  <c r="M129" i="3"/>
  <c r="E118" i="3"/>
  <c r="M118" i="3"/>
  <c r="E347" i="3"/>
  <c r="M347" i="3"/>
  <c r="E85" i="3"/>
  <c r="M85" i="3"/>
  <c r="E172" i="3"/>
  <c r="M172" i="3"/>
  <c r="E144" i="3"/>
  <c r="M144" i="3"/>
  <c r="E72" i="3"/>
  <c r="M72" i="3"/>
  <c r="E115" i="3"/>
  <c r="M115" i="3"/>
  <c r="E23" i="3"/>
  <c r="M23" i="3"/>
  <c r="E92" i="3"/>
  <c r="M92" i="3"/>
  <c r="E184" i="3"/>
  <c r="M184" i="3"/>
  <c r="E266" i="3"/>
  <c r="M266" i="3"/>
  <c r="E529" i="3"/>
  <c r="M529" i="3"/>
  <c r="E505" i="3"/>
  <c r="M505" i="3"/>
  <c r="E45" i="3"/>
  <c r="M45" i="3"/>
  <c r="E37" i="3"/>
  <c r="M37" i="3"/>
  <c r="E26" i="3"/>
  <c r="M26" i="3"/>
  <c r="E57" i="3"/>
  <c r="M57" i="3"/>
  <c r="E93" i="3"/>
  <c r="M93" i="3"/>
  <c r="E105" i="3"/>
  <c r="M105" i="3"/>
  <c r="E52" i="3"/>
  <c r="M52" i="3"/>
  <c r="E60" i="3"/>
  <c r="M60" i="3"/>
  <c r="E104" i="3"/>
  <c r="M104" i="3"/>
  <c r="E180" i="3"/>
  <c r="M180" i="3"/>
  <c r="E192" i="3"/>
  <c r="M192" i="3"/>
  <c r="E216" i="3"/>
  <c r="M216" i="3"/>
  <c r="E230" i="3"/>
  <c r="M230" i="3"/>
  <c r="E301" i="3"/>
  <c r="M301" i="3"/>
  <c r="E364" i="3"/>
  <c r="M364" i="3"/>
  <c r="E398" i="3"/>
  <c r="M398" i="3"/>
  <c r="E466" i="3"/>
  <c r="M466" i="3"/>
  <c r="E500" i="3"/>
  <c r="M500" i="3"/>
  <c r="E209" i="3"/>
  <c r="M209" i="3"/>
  <c r="E248" i="3"/>
  <c r="M248" i="3"/>
  <c r="E365" i="3"/>
  <c r="M365" i="3"/>
  <c r="E467" i="3"/>
  <c r="M467" i="3"/>
  <c r="E399" i="3"/>
  <c r="M399" i="3"/>
  <c r="AB40" i="1" l="1"/>
  <c r="AE40" i="1"/>
  <c r="AB58" i="1"/>
  <c r="AE58" i="1"/>
  <c r="M182" i="3"/>
  <c r="M385" i="3"/>
  <c r="M187" i="3"/>
  <c r="E190" i="3"/>
  <c r="M316" i="3"/>
  <c r="E193" i="3"/>
  <c r="E434" i="3"/>
  <c r="E164" i="3"/>
  <c r="F167" i="3" s="1"/>
  <c r="R162" i="3" s="1"/>
  <c r="U50" i="1" s="1"/>
  <c r="E54" i="3"/>
  <c r="E435" i="3"/>
  <c r="M483" i="3"/>
  <c r="M67" i="3"/>
  <c r="M318" i="3"/>
  <c r="M419" i="3"/>
  <c r="M58" i="3"/>
  <c r="M69" i="3"/>
  <c r="E366" i="3"/>
  <c r="M484" i="3"/>
  <c r="M42" i="3"/>
  <c r="E346" i="3"/>
  <c r="M130" i="3"/>
  <c r="E91" i="3"/>
  <c r="F96" i="3" s="1"/>
  <c r="R89" i="3" s="1"/>
  <c r="U59" i="1" s="1"/>
  <c r="M348" i="3"/>
  <c r="M480" i="3"/>
  <c r="M546" i="3"/>
  <c r="M285" i="3"/>
  <c r="M40" i="3"/>
  <c r="M127" i="3"/>
  <c r="E299" i="3"/>
  <c r="M83" i="3"/>
  <c r="E522" i="3"/>
  <c r="M21" i="3"/>
  <c r="E450" i="3"/>
  <c r="M5" i="3"/>
  <c r="E383" i="3"/>
  <c r="M36" i="3"/>
  <c r="E416" i="3"/>
  <c r="M298" i="3"/>
  <c r="M203" i="3"/>
  <c r="E112" i="3"/>
  <c r="M420" i="3"/>
  <c r="M400" i="3"/>
  <c r="E382" i="3"/>
  <c r="E563" i="3"/>
  <c r="E55" i="3"/>
  <c r="M94" i="3"/>
  <c r="E194" i="3"/>
  <c r="E10" i="3"/>
  <c r="M179" i="3"/>
  <c r="M11" i="3"/>
  <c r="M314" i="3"/>
  <c r="M116" i="3"/>
  <c r="E449" i="3"/>
  <c r="M282" i="3"/>
  <c r="M521" i="3"/>
  <c r="M315" i="3"/>
  <c r="M284" i="3"/>
  <c r="M9" i="3"/>
  <c r="M344" i="3"/>
  <c r="E539" i="3"/>
  <c r="E242" i="3"/>
  <c r="F244" i="3" s="1"/>
  <c r="R240" i="3" s="1"/>
  <c r="U7" i="1" s="1"/>
  <c r="E447" i="3"/>
  <c r="E236" i="3"/>
  <c r="F238" i="3" s="1"/>
  <c r="R234" i="3" s="1"/>
  <c r="U6" i="1" s="1"/>
  <c r="M29" i="3"/>
  <c r="E562" i="3"/>
  <c r="E345" i="3"/>
  <c r="E195" i="3"/>
  <c r="M537" i="3"/>
  <c r="M528" i="3"/>
  <c r="M415" i="3"/>
  <c r="E464" i="3"/>
  <c r="M46" i="3"/>
  <c r="M181" i="3"/>
  <c r="E25" i="3"/>
  <c r="F32" i="3" s="1"/>
  <c r="R18" i="3" s="1"/>
  <c r="U53" i="1" s="1"/>
  <c r="M267" i="3"/>
  <c r="E106" i="3"/>
  <c r="E150" i="3"/>
  <c r="E517" i="3"/>
  <c r="M421" i="3"/>
  <c r="M451" i="3"/>
  <c r="E499" i="3"/>
  <c r="E186" i="3"/>
  <c r="M362" i="3"/>
  <c r="E554" i="3"/>
  <c r="F558" i="3" s="1"/>
  <c r="R551" i="3" s="1"/>
  <c r="M197" i="3"/>
  <c r="E498" i="3"/>
  <c r="M6" i="3"/>
  <c r="E103" i="3"/>
  <c r="F108" i="3" s="1"/>
  <c r="R98" i="3" s="1"/>
  <c r="U41" i="1" s="1"/>
  <c r="M268" i="3"/>
  <c r="M254" i="3"/>
  <c r="E189" i="3"/>
  <c r="E178" i="3"/>
  <c r="M553" i="3"/>
  <c r="M386" i="3"/>
  <c r="M102" i="3"/>
  <c r="E73" i="3"/>
  <c r="E535" i="3"/>
  <c r="E143" i="3"/>
  <c r="E503" i="3"/>
  <c r="E75" i="3"/>
  <c r="E210" i="3"/>
  <c r="F212" i="3" s="1"/>
  <c r="R207" i="3" s="1"/>
  <c r="U2" i="1" s="1"/>
  <c r="M126" i="3"/>
  <c r="E151" i="3"/>
  <c r="E465" i="3"/>
  <c r="M518" i="3"/>
  <c r="E13" i="3"/>
  <c r="E217" i="3"/>
  <c r="F219" i="3" s="1"/>
  <c r="R214" i="3" s="1"/>
  <c r="U3" i="1" s="1"/>
  <c r="M59" i="3"/>
  <c r="M185" i="3"/>
  <c r="E71" i="3"/>
  <c r="M538" i="3"/>
  <c r="M38" i="3"/>
  <c r="E44" i="3"/>
  <c r="F48" i="3" s="1"/>
  <c r="R34" i="3" s="1"/>
  <c r="U54" i="1" s="1"/>
  <c r="M286" i="3"/>
  <c r="E502" i="3"/>
  <c r="E114" i="3"/>
  <c r="F120" i="3" s="1"/>
  <c r="R110" i="3" s="1"/>
  <c r="U42" i="1" s="1"/>
  <c r="M381" i="3"/>
  <c r="E519" i="3"/>
  <c r="M14" i="3"/>
  <c r="E547" i="3"/>
  <c r="F549" i="3" s="1"/>
  <c r="R544" i="3" s="1"/>
  <c r="E481" i="3"/>
  <c r="F146" i="3"/>
  <c r="R141" i="3" s="1"/>
  <c r="U47" i="1" s="1"/>
  <c r="F531" i="3"/>
  <c r="R526" i="3" s="1"/>
  <c r="F250" i="3"/>
  <c r="R246" i="3" s="1"/>
  <c r="U57" i="1" s="1"/>
  <c r="F232" i="3"/>
  <c r="R228" i="3" s="1"/>
  <c r="U5" i="1" s="1"/>
  <c r="F87" i="3"/>
  <c r="R80" i="3" s="1"/>
  <c r="U56" i="1" s="1"/>
  <c r="F226" i="3"/>
  <c r="R221" i="3" s="1"/>
  <c r="U4" i="1" s="1"/>
  <c r="F174" i="3"/>
  <c r="R169" i="3" s="1"/>
  <c r="U51" i="1" s="1"/>
  <c r="F139" i="3"/>
  <c r="R134" i="3" s="1"/>
  <c r="U46" i="1" s="1"/>
  <c r="F132" i="3"/>
  <c r="R122" i="3" s="1"/>
  <c r="U43" i="1" s="1"/>
  <c r="F160" i="3"/>
  <c r="R155" i="3" s="1"/>
  <c r="U49" i="1" s="1"/>
  <c r="AB51" i="1" l="1"/>
  <c r="AE51" i="1"/>
  <c r="AB57" i="1"/>
  <c r="AE57" i="1"/>
  <c r="AB42" i="1"/>
  <c r="AE42" i="1"/>
  <c r="AB41" i="1"/>
  <c r="AE41" i="1"/>
  <c r="AB50" i="1"/>
  <c r="AE50" i="1"/>
  <c r="AB49" i="1"/>
  <c r="AE49" i="1"/>
  <c r="AB4" i="1"/>
  <c r="AE4" i="1"/>
  <c r="AB3" i="1"/>
  <c r="AE3" i="1"/>
  <c r="AB6" i="1"/>
  <c r="AE6" i="1"/>
  <c r="AB43" i="1"/>
  <c r="AE43" i="1"/>
  <c r="AB56" i="1"/>
  <c r="AE56" i="1"/>
  <c r="AB47" i="1"/>
  <c r="AE47" i="1"/>
  <c r="AB53" i="1"/>
  <c r="AE53" i="1"/>
  <c r="AB59" i="1"/>
  <c r="AE59" i="1"/>
  <c r="AB46" i="1"/>
  <c r="AE46" i="1"/>
  <c r="AB5" i="1"/>
  <c r="AE5" i="1"/>
  <c r="AB54" i="1"/>
  <c r="AE54" i="1"/>
  <c r="AB7" i="1"/>
  <c r="AE7" i="1"/>
  <c r="AB2" i="1"/>
  <c r="AE2" i="1"/>
  <c r="F63" i="3"/>
  <c r="R50" i="3" s="1"/>
  <c r="U44" i="1" s="1"/>
  <c r="F565" i="3"/>
  <c r="R560" i="3" s="1"/>
  <c r="U64" i="1" s="1"/>
  <c r="F16" i="3"/>
  <c r="R2" i="3" s="1"/>
  <c r="U52" i="1" s="1"/>
  <c r="F542" i="3"/>
  <c r="R533" i="3" s="1"/>
  <c r="O404" i="3" s="1"/>
  <c r="F199" i="3"/>
  <c r="R176" i="3" s="1"/>
  <c r="U55" i="1" s="1"/>
  <c r="F524" i="3"/>
  <c r="R514" i="3" s="1"/>
  <c r="U11" i="1" s="1"/>
  <c r="F507" i="3"/>
  <c r="R496" i="3" s="1"/>
  <c r="O493" i="3" s="1"/>
  <c r="M493" i="3" s="1"/>
  <c r="F78" i="3"/>
  <c r="R65" i="3" s="1"/>
  <c r="U45" i="1" s="1"/>
  <c r="F153" i="3"/>
  <c r="R148" i="3" s="1"/>
  <c r="U48" i="1" s="1"/>
  <c r="O332" i="3"/>
  <c r="E332" i="3" s="1"/>
  <c r="F334" i="3" s="1"/>
  <c r="R328" i="3" s="1"/>
  <c r="U62" i="1"/>
  <c r="O469" i="3"/>
  <c r="O452" i="3"/>
  <c r="O436" i="3"/>
  <c r="U8" i="1"/>
  <c r="U60" i="1"/>
  <c r="O319" i="3"/>
  <c r="O287" i="3"/>
  <c r="O270" i="3"/>
  <c r="O350" i="3"/>
  <c r="O302" i="3"/>
  <c r="O369" i="3"/>
  <c r="U63" i="1"/>
  <c r="O487" i="3"/>
  <c r="AB11" i="1" l="1"/>
  <c r="AE11" i="1"/>
  <c r="AB64" i="1"/>
  <c r="AE64" i="1"/>
  <c r="AB48" i="1"/>
  <c r="AE48" i="1"/>
  <c r="AB55" i="1"/>
  <c r="AE55" i="1"/>
  <c r="AB44" i="1"/>
  <c r="AE44" i="1"/>
  <c r="AB60" i="1"/>
  <c r="AE60" i="1"/>
  <c r="AB45" i="1"/>
  <c r="AE45" i="1"/>
  <c r="AB63" i="1"/>
  <c r="AE63" i="1"/>
  <c r="AB8" i="1"/>
  <c r="AE8" i="1"/>
  <c r="AB62" i="1"/>
  <c r="AE62" i="1"/>
  <c r="AB52" i="1"/>
  <c r="AE52" i="1"/>
  <c r="O422" i="3"/>
  <c r="M422" i="3" s="1"/>
  <c r="O387" i="3"/>
  <c r="M387" i="3" s="1"/>
  <c r="U61" i="1"/>
  <c r="O511" i="3"/>
  <c r="E511" i="3" s="1"/>
  <c r="F512" i="3" s="1"/>
  <c r="R509" i="3" s="1"/>
  <c r="U10" i="1" s="1"/>
  <c r="M332" i="3"/>
  <c r="E302" i="3"/>
  <c r="M302" i="3"/>
  <c r="E319" i="3"/>
  <c r="F321" i="3" s="1"/>
  <c r="R311" i="3" s="1"/>
  <c r="M319" i="3"/>
  <c r="E452" i="3"/>
  <c r="F454" i="3" s="1"/>
  <c r="R445" i="3" s="1"/>
  <c r="M452" i="3"/>
  <c r="U39" i="1"/>
  <c r="O325" i="3"/>
  <c r="E325" i="3" s="1"/>
  <c r="F326" i="3" s="1"/>
  <c r="E369" i="3"/>
  <c r="F371" i="3" s="1"/>
  <c r="R359" i="3" s="1"/>
  <c r="M369" i="3"/>
  <c r="M287" i="3"/>
  <c r="E287" i="3"/>
  <c r="F289" i="3" s="1"/>
  <c r="R280" i="3" s="1"/>
  <c r="M436" i="3"/>
  <c r="E436" i="3"/>
  <c r="F438" i="3" s="1"/>
  <c r="R431" i="3" s="1"/>
  <c r="E350" i="3"/>
  <c r="M350" i="3"/>
  <c r="M404" i="3"/>
  <c r="E404" i="3"/>
  <c r="F406" i="3" s="1"/>
  <c r="R396" i="3" s="1"/>
  <c r="M270" i="3"/>
  <c r="E270" i="3"/>
  <c r="F272" i="3" s="1"/>
  <c r="R263" i="3" s="1"/>
  <c r="E469" i="3"/>
  <c r="F471" i="3" s="1"/>
  <c r="R461" i="3" s="1"/>
  <c r="M469" i="3"/>
  <c r="E487" i="3"/>
  <c r="F489" i="3" s="1"/>
  <c r="R478" i="3" s="1"/>
  <c r="M487" i="3"/>
  <c r="E493" i="3"/>
  <c r="F494" i="3" s="1"/>
  <c r="R491" i="3" s="1"/>
  <c r="U9" i="1" s="1"/>
  <c r="AB9" i="1" l="1"/>
  <c r="AE9" i="1"/>
  <c r="AB39" i="1"/>
  <c r="AE39" i="1"/>
  <c r="AB10" i="1"/>
  <c r="AE10" i="1"/>
  <c r="AB61" i="1"/>
  <c r="AE61" i="1"/>
  <c r="E422" i="3"/>
  <c r="F424" i="3" s="1"/>
  <c r="R413" i="3" s="1"/>
  <c r="U37" i="1" s="1"/>
  <c r="E387" i="3"/>
  <c r="F389" i="3" s="1"/>
  <c r="R378" i="3" s="1"/>
  <c r="O375" i="3" s="1"/>
  <c r="M511" i="3"/>
  <c r="R323" i="3"/>
  <c r="U38" i="1" s="1"/>
  <c r="M325" i="3"/>
  <c r="U35" i="1"/>
  <c r="O475" i="3"/>
  <c r="U21" i="1"/>
  <c r="O308" i="3"/>
  <c r="U27" i="1"/>
  <c r="O393" i="3"/>
  <c r="U19" i="1"/>
  <c r="O428" i="3"/>
  <c r="U13" i="1"/>
  <c r="O260" i="3"/>
  <c r="U23" i="1"/>
  <c r="O276" i="3"/>
  <c r="U33" i="1"/>
  <c r="O458" i="3"/>
  <c r="U31" i="1"/>
  <c r="O356" i="3"/>
  <c r="U15" i="1"/>
  <c r="O442" i="3"/>
  <c r="AB31" i="1" l="1"/>
  <c r="AE31" i="1"/>
  <c r="AB23" i="1"/>
  <c r="AE23" i="1"/>
  <c r="AB19" i="1"/>
  <c r="AE19" i="1"/>
  <c r="AB21" i="1"/>
  <c r="AE21" i="1"/>
  <c r="AB38" i="1"/>
  <c r="AE38" i="1"/>
  <c r="AB15" i="1"/>
  <c r="AE15" i="1"/>
  <c r="AB33" i="1"/>
  <c r="AE33" i="1"/>
  <c r="AB13" i="1"/>
  <c r="AE13" i="1"/>
  <c r="AB27" i="1"/>
  <c r="AE27" i="1"/>
  <c r="AB35" i="1"/>
  <c r="AE35" i="1"/>
  <c r="AB37" i="1"/>
  <c r="AE37" i="1"/>
  <c r="O410" i="3"/>
  <c r="E410" i="3" s="1"/>
  <c r="F411" i="3" s="1"/>
  <c r="R408" i="3" s="1"/>
  <c r="U36" i="1" s="1"/>
  <c r="U25" i="1"/>
  <c r="E356" i="3"/>
  <c r="F357" i="3" s="1"/>
  <c r="R354" i="3" s="1"/>
  <c r="U30" i="1" s="1"/>
  <c r="M356" i="3"/>
  <c r="M375" i="3"/>
  <c r="E375" i="3"/>
  <c r="F376" i="3" s="1"/>
  <c r="R373" i="3" s="1"/>
  <c r="U24" i="1" s="1"/>
  <c r="M276" i="3"/>
  <c r="E276" i="3"/>
  <c r="E428" i="3"/>
  <c r="F429" i="3" s="1"/>
  <c r="R426" i="3" s="1"/>
  <c r="U18" i="1" s="1"/>
  <c r="M428" i="3"/>
  <c r="E308" i="3"/>
  <c r="M308" i="3"/>
  <c r="M475" i="3"/>
  <c r="E475" i="3"/>
  <c r="F476" i="3" s="1"/>
  <c r="R473" i="3" s="1"/>
  <c r="U34" i="1" s="1"/>
  <c r="M442" i="3"/>
  <c r="E442" i="3"/>
  <c r="F443" i="3" s="1"/>
  <c r="R440" i="3" s="1"/>
  <c r="U14" i="1" s="1"/>
  <c r="E260" i="3"/>
  <c r="M260" i="3"/>
  <c r="E393" i="3"/>
  <c r="F394" i="3" s="1"/>
  <c r="R391" i="3" s="1"/>
  <c r="U26" i="1" s="1"/>
  <c r="M393" i="3"/>
  <c r="E458" i="3"/>
  <c r="F459" i="3" s="1"/>
  <c r="R456" i="3" s="1"/>
  <c r="U32" i="1" s="1"/>
  <c r="M458" i="3"/>
  <c r="AB34" i="1" l="1"/>
  <c r="AE34" i="1"/>
  <c r="AB25" i="1"/>
  <c r="AE25" i="1"/>
  <c r="AB32" i="1"/>
  <c r="AE32" i="1"/>
  <c r="AB18" i="1"/>
  <c r="AE18" i="1"/>
  <c r="AB36" i="1"/>
  <c r="AE36" i="1"/>
  <c r="AB24" i="1"/>
  <c r="AE24" i="1"/>
  <c r="AB14" i="1"/>
  <c r="AE14" i="1"/>
  <c r="AB26" i="1"/>
  <c r="AE26" i="1"/>
  <c r="AB30" i="1"/>
  <c r="AE30" i="1"/>
  <c r="M410" i="3"/>
  <c r="F277" i="3"/>
  <c r="R274" i="3" s="1"/>
  <c r="U22" i="1" s="1"/>
  <c r="F261" i="3"/>
  <c r="R258" i="3" s="1"/>
  <c r="U12" i="1" s="1"/>
  <c r="F309" i="3"/>
  <c r="R306" i="3" s="1"/>
  <c r="U20" i="1" s="1"/>
  <c r="AB20" i="1" l="1"/>
  <c r="AE20" i="1"/>
  <c r="AB22" i="1"/>
  <c r="AE22" i="1"/>
  <c r="AB12" i="1"/>
  <c r="AE12" i="1"/>
  <c r="G296" i="3"/>
  <c r="D303" i="3" s="1"/>
  <c r="E303" i="3" s="1"/>
  <c r="F304" i="3" l="1"/>
  <c r="R296" i="3" s="1"/>
  <c r="G341" i="3"/>
  <c r="U17" i="1" l="1"/>
  <c r="AE17" i="1" s="1"/>
  <c r="O293" i="3"/>
  <c r="E293" i="3" s="1"/>
  <c r="F294" i="3" s="1"/>
  <c r="D351" i="3"/>
  <c r="E351" i="3" s="1"/>
  <c r="F352" i="3" s="1"/>
  <c r="R291" i="3" l="1"/>
  <c r="U16" i="1" s="1"/>
  <c r="AE16" i="1" s="1"/>
  <c r="M293" i="3"/>
  <c r="AB17" i="1"/>
  <c r="R341" i="3"/>
  <c r="AB16" i="1" l="1"/>
  <c r="U29" i="1"/>
  <c r="O338" i="3"/>
  <c r="E338" i="3" l="1"/>
  <c r="F339" i="3" s="1"/>
  <c r="R336" i="3" s="1"/>
  <c r="U28" i="1" s="1"/>
  <c r="AB28" i="1" s="1"/>
  <c r="M338" i="3"/>
  <c r="AB29" i="1"/>
  <c r="AE29" i="1"/>
  <c r="AE28" i="1" l="1"/>
</calcChain>
</file>

<file path=xl/comments1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2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3.xml><?xml version="1.0" encoding="utf-8"?>
<comments xmlns="http://schemas.openxmlformats.org/spreadsheetml/2006/main">
  <authors>
    <author>Spenser Wang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4.xml><?xml version="1.0" encoding="utf-8"?>
<comments xmlns="http://schemas.openxmlformats.org/spreadsheetml/2006/main">
  <authors>
    <author>Spenser Wang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5.xml><?xml version="1.0" encoding="utf-8"?>
<comments xmlns="http://schemas.openxmlformats.org/spreadsheetml/2006/main">
  <authors>
    <author>CALIDAD</author>
  </authors>
  <commentList>
    <comment ref="D43" authorId="0" shapeId="0">
      <text>
        <r>
          <rPr>
            <b/>
            <sz val="8"/>
            <color indexed="81"/>
            <rFont val="Tahoma"/>
            <family val="2"/>
          </rPr>
          <t>FINAL PRODUCT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<sst xmlns="http://schemas.openxmlformats.org/spreadsheetml/2006/main" count="11454" uniqueCount="808">
  <si>
    <t>Item number</t>
  </si>
  <si>
    <t>Item name</t>
  </si>
  <si>
    <t>Item group</t>
  </si>
  <si>
    <t>Inventory model group</t>
  </si>
  <si>
    <t>Dimension group</t>
  </si>
  <si>
    <t>Item type</t>
  </si>
  <si>
    <t>HS Code</t>
  </si>
  <si>
    <t>Country/region</t>
  </si>
  <si>
    <t>Net weight</t>
  </si>
  <si>
    <t>Tare weight</t>
  </si>
  <si>
    <t>Latest cost price</t>
  </si>
  <si>
    <t>Latest purchase price</t>
  </si>
  <si>
    <t>Invent Unit</t>
  </si>
  <si>
    <t>Unit conversion</t>
    <phoneticPr fontId="3" type="noConversion"/>
  </si>
  <si>
    <t>Purchase unit</t>
  </si>
  <si>
    <t>Sales unit</t>
  </si>
  <si>
    <t>Company item</t>
  </si>
  <si>
    <t>Approved by</t>
  </si>
  <si>
    <t>Basic Info</t>
  </si>
  <si>
    <t>Branch</t>
  </si>
  <si>
    <t>Department</t>
  </si>
  <si>
    <t>Cost Center</t>
  </si>
  <si>
    <t>Purpose</t>
  </si>
  <si>
    <t>Tax Group</t>
  </si>
  <si>
    <t>Segment</t>
  </si>
  <si>
    <t>Major Marketing Group</t>
  </si>
  <si>
    <t>Detail Marketing Group</t>
  </si>
  <si>
    <t>Statutory</t>
  </si>
  <si>
    <t>Channel</t>
  </si>
  <si>
    <t>Finance Dimensions</t>
  </si>
  <si>
    <t>Purchase unit2</t>
  </si>
  <si>
    <t>Purch TPP Group</t>
  </si>
  <si>
    <t>Purch Item Sales tax group</t>
  </si>
  <si>
    <t>Purchase Setup</t>
  </si>
  <si>
    <t>Sales unit2</t>
  </si>
  <si>
    <t>Sales TPP group</t>
  </si>
  <si>
    <t>Sales Item Sales Tax group</t>
  </si>
  <si>
    <t>Price Group</t>
  </si>
  <si>
    <t>BOM unit</t>
  </si>
  <si>
    <t>Flushing principle</t>
  </si>
  <si>
    <t>Standard Order Qty</t>
  </si>
  <si>
    <t>Cost Price</t>
  </si>
  <si>
    <t>Production &amp; Cost</t>
  </si>
  <si>
    <t>AD058F</t>
  </si>
  <si>
    <t>Product</t>
  </si>
  <si>
    <t>Warehouse</t>
  </si>
  <si>
    <t>BOM</t>
    <phoneticPr fontId="3" type="noConversion"/>
  </si>
  <si>
    <t/>
  </si>
  <si>
    <t>No</t>
  </si>
  <si>
    <t>PCS</t>
    <phoneticPr fontId="3" type="noConversion"/>
  </si>
  <si>
    <t>BUK</t>
    <phoneticPr fontId="3" type="noConversion"/>
  </si>
  <si>
    <t>swang</t>
  </si>
  <si>
    <t>171</t>
  </si>
  <si>
    <t>013</t>
  </si>
  <si>
    <t>ICIRpsSp</t>
  </si>
  <si>
    <t>SPA1</t>
  </si>
  <si>
    <t>ICI</t>
  </si>
  <si>
    <t>BAG</t>
  </si>
  <si>
    <t>TPP-Prod</t>
  </si>
  <si>
    <t>Item_All</t>
  </si>
  <si>
    <t>Finish</t>
  </si>
  <si>
    <t>AD060F</t>
  </si>
  <si>
    <t>BOM</t>
  </si>
  <si>
    <t>AD070F</t>
  </si>
  <si>
    <t>AD-320</t>
  </si>
  <si>
    <t>BYK-A 530</t>
  </si>
  <si>
    <t>Material</t>
  </si>
  <si>
    <t>Item</t>
  </si>
  <si>
    <t>No</t>
    <phoneticPr fontId="3" type="noConversion"/>
  </si>
  <si>
    <t>Yes</t>
  </si>
  <si>
    <t>Yes</t>
    <phoneticPr fontId="3" type="noConversion"/>
  </si>
  <si>
    <t>KG</t>
    <phoneticPr fontId="3" type="noConversion"/>
  </si>
  <si>
    <t>010</t>
  </si>
  <si>
    <t>CAN</t>
  </si>
  <si>
    <t>TPP-No</t>
  </si>
  <si>
    <t>ASPDIEN002</t>
  </si>
  <si>
    <t>Asphalt application work</t>
  </si>
  <si>
    <t>Services</t>
  </si>
  <si>
    <t>SERVICE</t>
  </si>
  <si>
    <t>Service</t>
  </si>
  <si>
    <t>M²</t>
  </si>
  <si>
    <t>200</t>
  </si>
  <si>
    <t>ASPHALT</t>
  </si>
  <si>
    <t>Grid</t>
  </si>
  <si>
    <t>Item_Serv</t>
  </si>
  <si>
    <t>PCS</t>
  </si>
  <si>
    <t>Start</t>
  </si>
  <si>
    <t>ASPINST001</t>
  </si>
  <si>
    <t>Asphalt Verlegearbeit Installation</t>
  </si>
  <si>
    <t>H</t>
  </si>
  <si>
    <t>Applicatio</t>
  </si>
  <si>
    <t>CE-050</t>
  </si>
  <si>
    <t>ELECTROLAND</t>
  </si>
  <si>
    <t>BAG</t>
    <phoneticPr fontId="3" type="noConversion"/>
  </si>
  <si>
    <t>SAC</t>
  </si>
  <si>
    <t>CE-060</t>
  </si>
  <si>
    <t>DENKA SC1</t>
  </si>
  <si>
    <t>CE-070</t>
  </si>
  <si>
    <t>CEM I 52,5 R</t>
  </si>
  <si>
    <t>TNK</t>
  </si>
  <si>
    <t>CE-080</t>
  </si>
  <si>
    <t>CEM I 52,5 N/SR</t>
  </si>
  <si>
    <t>CT-670</t>
  </si>
  <si>
    <t>ARADUR 2965CH</t>
  </si>
  <si>
    <t>DI006C</t>
  </si>
  <si>
    <t>DI008C</t>
  </si>
  <si>
    <t>DI010C</t>
  </si>
  <si>
    <t>FACAPEX001</t>
  </si>
  <si>
    <t>Fixed Asset Item</t>
  </si>
  <si>
    <t>FA</t>
  </si>
  <si>
    <t>valt</t>
  </si>
  <si>
    <t>040</t>
  </si>
  <si>
    <t>Diverses</t>
  </si>
  <si>
    <t>Others</t>
  </si>
  <si>
    <t>FS-540</t>
  </si>
  <si>
    <t>ARENA SILICE 0,2</t>
  </si>
  <si>
    <t>FS-550</t>
  </si>
  <si>
    <t>ARENA SILICE 0,1-0,5</t>
  </si>
  <si>
    <t>FS-560</t>
  </si>
  <si>
    <t>ARENA SILICE 0,5-1,0</t>
  </si>
  <si>
    <t>FS-570</t>
  </si>
  <si>
    <t>ARENA SILICE 1,0 - 2,0</t>
  </si>
  <si>
    <t>FS-580</t>
  </si>
  <si>
    <t>ARENA SILICE 2,0 - 3,0</t>
  </si>
  <si>
    <t>FS-590</t>
  </si>
  <si>
    <t>ARENA SILICE 3,0 - 5,0</t>
  </si>
  <si>
    <t>FT-680</t>
  </si>
  <si>
    <t>INDULTAC-10</t>
  </si>
  <si>
    <t>FT-690</t>
  </si>
  <si>
    <t>BENTONE SD2</t>
  </si>
  <si>
    <t>IM080F</t>
  </si>
  <si>
    <t>SET</t>
    <phoneticPr fontId="3" type="noConversion"/>
  </si>
  <si>
    <t>IM092F</t>
  </si>
  <si>
    <t>Legal - labor</t>
  </si>
  <si>
    <t>800</t>
  </si>
  <si>
    <t>Expenses</t>
  </si>
  <si>
    <t>Legal - other</t>
  </si>
  <si>
    <t>MA-130</t>
  </si>
  <si>
    <t>ENCOR 5100</t>
  </si>
  <si>
    <t>MA-140</t>
  </si>
  <si>
    <t>ORGAL P-803 CM</t>
  </si>
  <si>
    <t>Maint - equip</t>
  </si>
  <si>
    <t>Maint - facility</t>
  </si>
  <si>
    <t>Maint - office equip</t>
  </si>
  <si>
    <t>Maint - vehicles</t>
  </si>
  <si>
    <t>Materials - freight</t>
  </si>
  <si>
    <t>105</t>
  </si>
  <si>
    <t>Transport</t>
  </si>
  <si>
    <t>Meals &amp; entertainmen</t>
  </si>
  <si>
    <t>MO041F</t>
  </si>
  <si>
    <t>KG</t>
  </si>
  <si>
    <t>MO042F</t>
  </si>
  <si>
    <t>MO043F</t>
  </si>
  <si>
    <t>MO044F</t>
  </si>
  <si>
    <t>MO045F</t>
  </si>
  <si>
    <t>MO047F</t>
  </si>
  <si>
    <t>MO051F</t>
  </si>
  <si>
    <t>MO075F</t>
  </si>
  <si>
    <t>MO081F</t>
  </si>
  <si>
    <t>MO082F</t>
  </si>
  <si>
    <t>MO083F</t>
  </si>
  <si>
    <t>MO084F</t>
  </si>
  <si>
    <t>MO100F</t>
  </si>
  <si>
    <t>MO110F</t>
  </si>
  <si>
    <t>MPMO002</t>
  </si>
  <si>
    <t>ALUMINATO SÓDICO EN POLVO</t>
    <phoneticPr fontId="3" type="noConversion"/>
  </si>
  <si>
    <t>MPMO003</t>
  </si>
  <si>
    <t>FIBRA DRAMIX</t>
    <phoneticPr fontId="3" type="noConversion"/>
  </si>
  <si>
    <t>MPMO004</t>
  </si>
  <si>
    <t>BORRESPERSE NA 220</t>
  </si>
  <si>
    <t>MPMO005</t>
  </si>
  <si>
    <t>CARBONATO DE LITIO</t>
  </si>
  <si>
    <t>MPMO007</t>
  </si>
  <si>
    <t>ALUMINIO EN POLVO 10890</t>
  </si>
  <si>
    <t>MPMO008</t>
  </si>
  <si>
    <t>FIBERCAST 500 19 mm</t>
  </si>
  <si>
    <t>BOX</t>
  </si>
  <si>
    <t>MPMO009</t>
  </si>
  <si>
    <t>CARBONATO SÓDICO LIGERO</t>
  </si>
  <si>
    <t>MPMO016</t>
  </si>
  <si>
    <t>VINNAPAS 8031</t>
  </si>
  <si>
    <t>MPMO017</t>
  </si>
  <si>
    <t>ACIDO TARTARICO</t>
  </si>
  <si>
    <t>MPMO024</t>
  </si>
  <si>
    <t>NEUFLEX 4 mm</t>
  </si>
  <si>
    <t>MPRE032</t>
  </si>
  <si>
    <t>FETADIT IN</t>
  </si>
  <si>
    <t>MPRE073</t>
  </si>
  <si>
    <t>XILENO</t>
  </si>
  <si>
    <t>MPRE077</t>
  </si>
  <si>
    <t>RALVADUR MATE</t>
  </si>
  <si>
    <t>PG-461</t>
  </si>
  <si>
    <t>OXINED BLANCO</t>
  </si>
  <si>
    <t>PG-470</t>
  </si>
  <si>
    <t>BAYFERROX NEGRO 320</t>
  </si>
  <si>
    <t>Phone - office</t>
  </si>
  <si>
    <t>PI010C</t>
  </si>
  <si>
    <t>TECNOPINT</t>
  </si>
  <si>
    <t>Postage</t>
  </si>
  <si>
    <t>Prof svc - audit</t>
  </si>
  <si>
    <t>Prof svc - emp agent</t>
  </si>
  <si>
    <t>Prof svc - other</t>
  </si>
  <si>
    <t>Prof svc - prod test</t>
  </si>
  <si>
    <t>400</t>
  </si>
  <si>
    <t>Prof svc - tax</t>
  </si>
  <si>
    <t>RE010F</t>
  </si>
  <si>
    <t>RE020F</t>
  </si>
  <si>
    <t>RE030F</t>
  </si>
  <si>
    <t>RE031F</t>
  </si>
  <si>
    <t>RE040F</t>
  </si>
  <si>
    <t>RE050C</t>
  </si>
  <si>
    <t>RE060C</t>
  </si>
  <si>
    <t>RE061C</t>
  </si>
  <si>
    <t>RE070F</t>
  </si>
  <si>
    <t>RE080F</t>
  </si>
  <si>
    <t>RE100F</t>
  </si>
  <si>
    <t>RE230F</t>
  </si>
  <si>
    <t>RE231F</t>
  </si>
  <si>
    <t>RE232F</t>
  </si>
  <si>
    <t>RE260F</t>
  </si>
  <si>
    <t>RE-290</t>
  </si>
  <si>
    <t>ARALDITE GY 257</t>
  </si>
  <si>
    <t>RE-300</t>
  </si>
  <si>
    <t>ARALDITE GY 250</t>
  </si>
  <si>
    <t>RE306F</t>
  </si>
  <si>
    <t>RE314F</t>
  </si>
  <si>
    <t>RE318F</t>
  </si>
  <si>
    <t>RE350F</t>
  </si>
  <si>
    <t>SET</t>
    <phoneticPr fontId="3" type="noConversion"/>
  </si>
  <si>
    <t>Relocation - emp</t>
  </si>
  <si>
    <t>Rent</t>
  </si>
  <si>
    <t>Services - janitoria</t>
  </si>
  <si>
    <t>Services - other</t>
  </si>
  <si>
    <t>Services - security</t>
  </si>
  <si>
    <t>SF-150</t>
  </si>
  <si>
    <t>BYK-P 104</t>
  </si>
  <si>
    <t>KG</t>
    <phoneticPr fontId="3" type="noConversion"/>
  </si>
  <si>
    <t>SF-160</t>
  </si>
  <si>
    <t>ANTITERRA-U</t>
  </si>
  <si>
    <t>SPMO001</t>
  </si>
  <si>
    <t>ADITIVO T-1</t>
  </si>
  <si>
    <t>Component</t>
  </si>
  <si>
    <t>SPMO002</t>
  </si>
  <si>
    <t>ADITIVO T-2</t>
  </si>
  <si>
    <t>SPMO003</t>
  </si>
  <si>
    <t>ADITIVO T-3</t>
  </si>
  <si>
    <t>SPMO006</t>
  </si>
  <si>
    <t>ADITIVO T-6</t>
  </si>
  <si>
    <t>SPMO008</t>
  </si>
  <si>
    <t>ADITIVO T-8</t>
  </si>
  <si>
    <t>SS-240</t>
  </si>
  <si>
    <t>FLUBE OS 139</t>
  </si>
  <si>
    <t>SS-250</t>
  </si>
  <si>
    <t>MELMENT F-10</t>
  </si>
  <si>
    <t>Subscript - emp ads</t>
  </si>
  <si>
    <t>SV-300</t>
  </si>
  <si>
    <t>ALCOHOL BENCILICO</t>
  </si>
  <si>
    <t>SV-390</t>
  </si>
  <si>
    <t>TOLUENO</t>
  </si>
  <si>
    <t>Taxes - property</t>
  </si>
  <si>
    <t>Charges</t>
  </si>
  <si>
    <t>Taxes - WH RSU</t>
  </si>
  <si>
    <t>Taxes - Withheld on RSU
charges to Home Office (US)</t>
  </si>
  <si>
    <t>FDiCl</t>
  </si>
  <si>
    <t>Personal -</t>
  </si>
  <si>
    <t>Tooling - maint</t>
  </si>
  <si>
    <t>Tooling - new</t>
  </si>
  <si>
    <t>TP-340</t>
  </si>
  <si>
    <t>TYLOSE MH 15003 P6</t>
  </si>
  <si>
    <t>Trade - booth</t>
  </si>
  <si>
    <t>700</t>
  </si>
  <si>
    <t>Trade - other</t>
  </si>
  <si>
    <t>Travel</t>
  </si>
  <si>
    <t>TRSPEDI001</t>
  </si>
  <si>
    <t>Transportkosten (Spedition)</t>
  </si>
  <si>
    <t>300</t>
  </si>
  <si>
    <t>Shipping</t>
  </si>
  <si>
    <t>Freight</t>
  </si>
  <si>
    <t>TS-440</t>
  </si>
  <si>
    <t>MICRONIZADO G-100</t>
  </si>
  <si>
    <t>Utilities - electric</t>
  </si>
  <si>
    <t>Utilities - gas</t>
  </si>
  <si>
    <t>Utilitites - water</t>
  </si>
  <si>
    <t>VEDI670001</t>
  </si>
  <si>
    <t>Interest on I/C loan</t>
  </si>
  <si>
    <t>900</t>
  </si>
  <si>
    <t>ItemRed</t>
  </si>
  <si>
    <t>VERDIE0624</t>
  </si>
  <si>
    <t>Misc. Charges - Admin</t>
  </si>
  <si>
    <t>VERDIE0630</t>
  </si>
  <si>
    <t>Group &amp; misc. charges Below - Admin</t>
  </si>
  <si>
    <t>VERDIE0631</t>
  </si>
  <si>
    <t>Group Charges – Tpp</t>
  </si>
  <si>
    <t>960</t>
  </si>
  <si>
    <t>Solar</t>
  </si>
  <si>
    <t>VERDIE0642</t>
  </si>
  <si>
    <t>Group Charges - IT General</t>
  </si>
  <si>
    <t>830</t>
  </si>
  <si>
    <t>W/H transfer - frt</t>
  </si>
  <si>
    <t>107</t>
  </si>
  <si>
    <t>Warehousing</t>
  </si>
  <si>
    <t>Waste Disposal</t>
  </si>
  <si>
    <t>MPRE049</t>
  </si>
  <si>
    <t>MPRE048</t>
  </si>
  <si>
    <t>OXIDO DE ZINC</t>
  </si>
  <si>
    <t>MPMO034</t>
  </si>
  <si>
    <t>AGUA</t>
  </si>
  <si>
    <t>OXIDO DE PLOMO</t>
    <phoneticPr fontId="2" type="noConversion"/>
  </si>
  <si>
    <t>KG</t>
    <phoneticPr fontId="3" type="noConversion"/>
  </si>
  <si>
    <t>BAG</t>
    <phoneticPr fontId="3" type="noConversion"/>
  </si>
  <si>
    <t>LAB/OH-Mortar</t>
  </si>
  <si>
    <t>LAB/OH-Resin</t>
  </si>
  <si>
    <t>LABOR/OVERHEAD - Mortar</t>
  </si>
  <si>
    <t>LABOR/OVERHEAD - Resin</t>
  </si>
  <si>
    <t>H</t>
    <phoneticPr fontId="2" type="noConversion"/>
  </si>
  <si>
    <t>FRP</t>
    <phoneticPr fontId="2" type="noConversion"/>
  </si>
  <si>
    <t>Epoxy</t>
    <phoneticPr fontId="2" type="noConversion"/>
  </si>
  <si>
    <t>ARMO</t>
    <phoneticPr fontId="2" type="noConversion"/>
  </si>
  <si>
    <t>Mortar</t>
    <phoneticPr fontId="2" type="noConversion"/>
  </si>
  <si>
    <t>CODE</t>
  </si>
  <si>
    <t>RAW MATERIAL</t>
  </si>
  <si>
    <t>AMOUNT (Kg)</t>
  </si>
  <si>
    <t xml:space="preserve">COST  </t>
  </si>
  <si>
    <t>TOTAL COST PER Kg</t>
  </si>
  <si>
    <t>MPRE015</t>
  </si>
  <si>
    <t>MPRE016</t>
  </si>
  <si>
    <t>MPRE021</t>
  </si>
  <si>
    <t>MPRE019</t>
  </si>
  <si>
    <t>MPRE020</t>
  </si>
  <si>
    <t>MPMO019</t>
  </si>
  <si>
    <t>MPRE057</t>
  </si>
  <si>
    <t>MPMO033</t>
  </si>
  <si>
    <t>ARENA MICRONIZADA G-100</t>
  </si>
  <si>
    <t>MPMO018</t>
  </si>
  <si>
    <t>MPRE106</t>
  </si>
  <si>
    <t>MPRE017</t>
  </si>
  <si>
    <t>MPMO027</t>
  </si>
  <si>
    <t>MPRE046</t>
  </si>
  <si>
    <t>MPMO028</t>
  </si>
  <si>
    <t>MPMO029</t>
  </si>
  <si>
    <t>ARENA SILICE 0,5-1</t>
  </si>
  <si>
    <t>MPMO030</t>
  </si>
  <si>
    <t>ARENA SILICE 1-2</t>
  </si>
  <si>
    <t>MPMO001</t>
  </si>
  <si>
    <t>MPRE040</t>
  </si>
  <si>
    <t>MPRE072</t>
  </si>
  <si>
    <t>ARENA MICRONIZADA</t>
  </si>
  <si>
    <t>MPMO031</t>
  </si>
  <si>
    <t>MPMO012</t>
  </si>
  <si>
    <t>MPMO032</t>
  </si>
  <si>
    <t xml:space="preserve">FIBRA DRAMIX </t>
  </si>
  <si>
    <t>MPMO025</t>
  </si>
  <si>
    <t>MPMO011</t>
  </si>
  <si>
    <t>ARENA SILICE 0,1 - 0,5</t>
  </si>
  <si>
    <t>ARENA SILICE 0,5 - 1,0</t>
  </si>
  <si>
    <t>ARENA SILICE 2,0 -3,0</t>
  </si>
  <si>
    <t>MPMO023</t>
  </si>
  <si>
    <t>MPMO026</t>
  </si>
  <si>
    <t>ALUMINATO SÓDICO EN POLVO</t>
  </si>
  <si>
    <t>MPMO010</t>
  </si>
  <si>
    <t>MPMO013</t>
  </si>
  <si>
    <t>Products</t>
    <phoneticPr fontId="2" type="noConversion"/>
  </si>
  <si>
    <t>BOM existed?</t>
    <phoneticPr fontId="2" type="noConversion"/>
  </si>
  <si>
    <t>Latest closing price</t>
    <phoneticPr fontId="3" type="noConversion"/>
  </si>
  <si>
    <t>Unit conversion</t>
    <phoneticPr fontId="3" type="noConversion"/>
  </si>
  <si>
    <t>TECNOACRY (5KG)</t>
    <phoneticPr fontId="3" type="noConversion"/>
  </si>
  <si>
    <t>BOM</t>
    <phoneticPr fontId="3" type="noConversion"/>
  </si>
  <si>
    <t>PCS</t>
    <phoneticPr fontId="3" type="noConversion"/>
  </si>
  <si>
    <t>BUK</t>
    <phoneticPr fontId="3" type="noConversion"/>
  </si>
  <si>
    <t>TECNOACRY (25KG)</t>
    <phoneticPr fontId="3" type="noConversion"/>
  </si>
  <si>
    <t>TECNOACRY (200KG)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</si>
  <si>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</si>
  <si>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</si>
  <si>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</si>
  <si>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</si>
  <si>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TECNODIL-R (5L)</t>
    <phoneticPr fontId="3" type="noConversion"/>
  </si>
  <si>
    <t>TECNODIL-R (10L)</t>
    <phoneticPr fontId="3" type="noConversion"/>
  </si>
  <si>
    <t>TECNODIL-R (25L)</t>
    <phoneticPr fontId="3" type="noConversion"/>
  </si>
  <si>
    <t>TECNOIMPER-FLEX (A+B 28.4KG)</t>
    <phoneticPr fontId="3" type="noConversion"/>
  </si>
  <si>
    <t>SET</t>
    <phoneticPr fontId="3" type="noConversion"/>
  </si>
  <si>
    <t>TECNOIMPER (25KG)</t>
    <phoneticPr fontId="3" type="noConversion"/>
  </si>
  <si>
    <t>TECNOGROUT-N (25KG)</t>
    <phoneticPr fontId="3" type="noConversion"/>
  </si>
  <si>
    <t>TECNOGROUT-N RAPIDO (25KG)</t>
    <phoneticPr fontId="3" type="noConversion"/>
  </si>
  <si>
    <t>TECNOGROUT-N/PR (25KG)</t>
    <phoneticPr fontId="3" type="noConversion"/>
  </si>
  <si>
    <t>TECNOGROUT-N/PR RAPIDO (25KG)</t>
    <phoneticPr fontId="3" type="noConversion"/>
  </si>
  <si>
    <t>TECNOGROUT-N/GR (25KG)</t>
    <phoneticPr fontId="3" type="noConversion"/>
  </si>
  <si>
    <t>TECNOGROUT-SR (25KG)</t>
    <phoneticPr fontId="3" type="noConversion"/>
  </si>
  <si>
    <t>TECNOGROUT-K (25KG)</t>
    <phoneticPr fontId="3" type="noConversion"/>
  </si>
  <si>
    <t>TECNOGROUT-FIB (25KG)</t>
    <phoneticPr fontId="3" type="noConversion"/>
  </si>
  <si>
    <t>FERROGROUT-A (25KG)</t>
    <phoneticPr fontId="3" type="noConversion"/>
  </si>
  <si>
    <t>FERROGROUT-A NEGRO (25KG)</t>
    <phoneticPr fontId="3" type="noConversion"/>
  </si>
  <si>
    <t>FERROGROUT-A RÁPIDO (25KG)</t>
    <phoneticPr fontId="3" type="noConversion"/>
  </si>
  <si>
    <t>FERROGROUT-A RÁPIDO NEGRO (25KG)</t>
    <phoneticPr fontId="3" type="noConversion"/>
  </si>
  <si>
    <t>TECNOSTOP (25KG)</t>
    <phoneticPr fontId="3" type="noConversion"/>
  </si>
  <si>
    <t>TECNOGROUT-IN (20KG)</t>
    <phoneticPr fontId="3" type="noConversion"/>
  </si>
  <si>
    <t>ALUMINATO SÓDICO EN POLVO</t>
    <phoneticPr fontId="3" type="noConversion"/>
  </si>
  <si>
    <t>FIBRA DRAMIX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</si>
  <si>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</si>
  <si>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</si>
  <si>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</si>
  <si>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</si>
  <si>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BUK</t>
    <phoneticPr fontId="3" type="noConversion"/>
  </si>
  <si>
    <t>TECNOPOX-ANCLAJES (A+B 2KG)</t>
    <phoneticPr fontId="3" type="noConversion"/>
  </si>
  <si>
    <t>TECNOPOX-ANCLAJES (A+B 7KG)</t>
    <phoneticPr fontId="3" type="noConversion"/>
  </si>
  <si>
    <t>TECNOPOX-ANCLAJES (A+B 14KG)</t>
    <phoneticPr fontId="3" type="noConversion"/>
  </si>
  <si>
    <t>TECNOPOX-P (A+B 2KG)</t>
    <phoneticPr fontId="3" type="noConversion"/>
  </si>
  <si>
    <t>TECNOPOX-P (A+B 5KG)</t>
    <phoneticPr fontId="3" type="noConversion"/>
  </si>
  <si>
    <t>TECNOPOX-IN (A+B 2KG)</t>
    <phoneticPr fontId="3" type="noConversion"/>
  </si>
  <si>
    <t>TECNOPOX-IN (A+B 5KG)</t>
    <phoneticPr fontId="3" type="noConversion"/>
  </si>
  <si>
    <t>TECNOPOX-IN (A+B 1KG)</t>
    <phoneticPr fontId="3" type="noConversion"/>
  </si>
  <si>
    <t>TECNOPOX-FL (A+B 2KG)</t>
    <phoneticPr fontId="3" type="noConversion"/>
  </si>
  <si>
    <t>TECNOPOX-FL (A+B 5KG)</t>
    <phoneticPr fontId="3" type="noConversion"/>
  </si>
  <si>
    <t>TECNOPOX-FL (A+B 10KG)</t>
    <phoneticPr fontId="3" type="noConversion"/>
  </si>
  <si>
    <t>ADHEPOX-SPFM (A+B 2KG)</t>
    <phoneticPr fontId="3" type="noConversion"/>
  </si>
  <si>
    <t>ADHEPOX-SPFM (A+B 5KG)</t>
    <phoneticPr fontId="3" type="noConversion"/>
  </si>
  <si>
    <t>ADHEPOX-SPFM (A+B 10KG)</t>
    <phoneticPr fontId="3" type="noConversion"/>
  </si>
  <si>
    <t>TECNOPROT-EPOX (A+B 5KG)</t>
    <phoneticPr fontId="3" type="noConversion"/>
  </si>
  <si>
    <t>TECNOPOX-S (A+B 10KG)</t>
    <phoneticPr fontId="3" type="noConversion"/>
  </si>
  <si>
    <t>AGENTE TIXOTRÓPICO (10KG)</t>
    <phoneticPr fontId="3" type="noConversion"/>
  </si>
  <si>
    <t>AGENTE TIXOTRÓPICO (20KG)</t>
    <phoneticPr fontId="3" type="noConversion"/>
  </si>
  <si>
    <t>TECNOPOX-S (A+B 5KG)</t>
    <phoneticPr fontId="3" type="noConversion"/>
  </si>
  <si>
    <t>OXIDO DE PLOMO</t>
    <phoneticPr fontId="2" type="noConversion"/>
  </si>
  <si>
    <t>AX Code</t>
    <phoneticPr fontId="2" type="noConversion"/>
  </si>
  <si>
    <t>AsphaltVerlegearbeit</t>
  </si>
  <si>
    <t>AsphaltVerlegearbeitInstallation</t>
  </si>
  <si>
    <t>FixedAssetItem</t>
  </si>
  <si>
    <t>Legallabor</t>
  </si>
  <si>
    <t>Legalother</t>
  </si>
  <si>
    <t>Maintequip</t>
  </si>
  <si>
    <t>Maintfacility</t>
  </si>
  <si>
    <t>Maintofficeequip</t>
  </si>
  <si>
    <t>Maintvehicles</t>
  </si>
  <si>
    <t>Materialsfreight</t>
  </si>
  <si>
    <t>Meals&amp;entertainmen</t>
  </si>
  <si>
    <t>Phoneoffice</t>
  </si>
  <si>
    <t>Profsvcaudit</t>
  </si>
  <si>
    <t>Profsvcempagent</t>
  </si>
  <si>
    <t>Profsvcother</t>
  </si>
  <si>
    <t>Profsvcprodtest</t>
  </si>
  <si>
    <t>Profsvctax</t>
  </si>
  <si>
    <t>Relocationemp</t>
  </si>
  <si>
    <t>Servicesjanitoria</t>
  </si>
  <si>
    <t>Servicesother</t>
  </si>
  <si>
    <t>Servicessecurity</t>
  </si>
  <si>
    <t>Subscriptempads</t>
  </si>
  <si>
    <t>Taxesproperty</t>
  </si>
  <si>
    <t>TaxesWithheldonRSUchargestoHomeOffice(US)</t>
  </si>
  <si>
    <t>Toolingmaint</t>
  </si>
  <si>
    <t>Toolingnew</t>
  </si>
  <si>
    <t>Tradebooth</t>
  </si>
  <si>
    <t>Tradeother</t>
  </si>
  <si>
    <t>Utilitieselectric</t>
  </si>
  <si>
    <t>Utilitiesgas</t>
  </si>
  <si>
    <t>Utilititeswater</t>
  </si>
  <si>
    <t>InterestonICloan</t>
  </si>
  <si>
    <t>MiscChargesAdmin</t>
  </si>
  <si>
    <t>Group &amp; misc charges Below Admin</t>
  </si>
  <si>
    <t>Group Charges IT General</t>
  </si>
  <si>
    <t>WHtransferfrt</t>
  </si>
  <si>
    <t>WasteDisposal</t>
  </si>
  <si>
    <t>Search name</t>
    <phoneticPr fontId="2" type="noConversion"/>
  </si>
  <si>
    <t>Cost price</t>
    <phoneticPr fontId="2" type="noConversion"/>
  </si>
  <si>
    <t>Unit of Product</t>
    <phoneticPr fontId="2" type="noConversion"/>
  </si>
  <si>
    <t>Multiple unit of materials</t>
    <phoneticPr fontId="2" type="noConversion"/>
  </si>
  <si>
    <t>Cost price from list</t>
    <phoneticPr fontId="2" type="noConversion"/>
  </si>
  <si>
    <t>Weight of product</t>
    <phoneticPr fontId="2" type="noConversion"/>
  </si>
  <si>
    <t>Total Cost:</t>
    <phoneticPr fontId="2" type="noConversion"/>
  </si>
  <si>
    <t>??</t>
    <phoneticPr fontId="2" type="noConversion"/>
  </si>
  <si>
    <t>TECNOGROUT-SR (25KG)</t>
  </si>
  <si>
    <t>Total Weight:</t>
    <phoneticPr fontId="2" type="noConversion"/>
  </si>
  <si>
    <t>40 x 25 =</t>
    <phoneticPr fontId="2" type="noConversion"/>
  </si>
  <si>
    <t>Ord 1</t>
    <phoneticPr fontId="2" type="noConversion"/>
  </si>
  <si>
    <t>5 cycles</t>
    <phoneticPr fontId="2" type="noConversion"/>
  </si>
  <si>
    <t>Ord 2</t>
    <phoneticPr fontId="2" type="noConversion"/>
  </si>
  <si>
    <t xml:space="preserve"> + 19 = </t>
    <phoneticPr fontId="2" type="noConversion"/>
  </si>
  <si>
    <t>Ord 3</t>
    <phoneticPr fontId="2" type="noConversion"/>
  </si>
  <si>
    <t>10 cycles</t>
    <phoneticPr fontId="2" type="noConversion"/>
  </si>
  <si>
    <t xml:space="preserve"> + 13 =</t>
    <phoneticPr fontId="2" type="noConversion"/>
  </si>
  <si>
    <t>5 cycles</t>
    <phoneticPr fontId="2" type="noConversion"/>
  </si>
  <si>
    <t>ADITIVO T-1</t>
    <phoneticPr fontId="2" type="noConversion"/>
  </si>
  <si>
    <t>MO047F-1</t>
    <phoneticPr fontId="2" type="noConversion"/>
  </si>
  <si>
    <t>TECNOGROUT-SR (KG)</t>
  </si>
  <si>
    <t>TECNOGROUT-SR (KG)</t>
    <phoneticPr fontId="2" type="noConversion"/>
  </si>
  <si>
    <t>1 PCS</t>
    <phoneticPr fontId="2" type="noConversion"/>
  </si>
  <si>
    <t>AA-010</t>
  </si>
  <si>
    <t>AA-020</t>
  </si>
  <si>
    <t>AA-030</t>
  </si>
  <si>
    <t>AK-010</t>
  </si>
  <si>
    <t>AP-010</t>
  </si>
  <si>
    <t>AR-010</t>
  </si>
  <si>
    <t>AW-010</t>
  </si>
  <si>
    <t>FL-010</t>
  </si>
  <si>
    <t>FN-010</t>
  </si>
  <si>
    <t>FR-010</t>
  </si>
  <si>
    <t>PM-630</t>
  </si>
  <si>
    <t>PM-640</t>
  </si>
  <si>
    <t>SE-020</t>
  </si>
  <si>
    <t>ST-010</t>
  </si>
  <si>
    <t>KG</t>
    <phoneticPr fontId="2" type="noConversion"/>
  </si>
  <si>
    <t>check by end of period of how many movement journals we made</t>
    <phoneticPr fontId="2" type="noConversion"/>
  </si>
  <si>
    <t>Per serial</t>
    <phoneticPr fontId="2" type="noConversion"/>
  </si>
  <si>
    <t>MO041F-1</t>
  </si>
  <si>
    <t>MO041F-1</t>
    <phoneticPr fontId="2" type="noConversion"/>
  </si>
  <si>
    <t>IM092F-1</t>
  </si>
  <si>
    <t>MO042F-1</t>
  </si>
  <si>
    <t>MO043F-1</t>
  </si>
  <si>
    <t>MO044F-1</t>
  </si>
  <si>
    <t>MO045F-1</t>
  </si>
  <si>
    <t>MO047F-1</t>
  </si>
  <si>
    <t>MO051F-1</t>
  </si>
  <si>
    <t>MO075F-1</t>
  </si>
  <si>
    <t>MO081F-1</t>
  </si>
  <si>
    <t>MO082F-1</t>
  </si>
  <si>
    <t>MO083F-1</t>
  </si>
  <si>
    <t>MO084F-1</t>
  </si>
  <si>
    <t>MO100F-1</t>
  </si>
  <si>
    <t>MO110F-1</t>
  </si>
  <si>
    <t>TECNOACRY (5KG)</t>
  </si>
  <si>
    <t>TECNOACRY (25KG)</t>
  </si>
  <si>
    <t>TECNOACRY (200KG)</t>
  </si>
  <si>
    <t>TECNODIL-R (5L)</t>
  </si>
  <si>
    <t>TECNODIL-R (10L)</t>
  </si>
  <si>
    <t>TECNODIL-R (25L)</t>
  </si>
  <si>
    <t>TECNOIMPER-FLEX (A+B 28.4KG)</t>
  </si>
  <si>
    <t>TECNOIMPER (25KG)</t>
  </si>
  <si>
    <t>TECNOIMPER (KG)</t>
  </si>
  <si>
    <t>TECNOGROUT-N (25KG)</t>
  </si>
  <si>
    <t>TECNOGROUT-N (KG)</t>
  </si>
  <si>
    <t>TECNOGROUT-N RAPIDO (25KG)</t>
  </si>
  <si>
    <t>TECNOGROUT-N RAPIDO (KG)</t>
  </si>
  <si>
    <t>TECNOGROUT-N/PR (25KG)</t>
  </si>
  <si>
    <t>TECNOGROUT-N/PR (KG)</t>
  </si>
  <si>
    <t>TECNOGROUT-N/PR RAPIDO (25KG)</t>
  </si>
  <si>
    <t>TECNOGROUT-N/PR RAPIDO (KG)</t>
  </si>
  <si>
    <t>TECNOGROUT-N/GR (25KG)</t>
  </si>
  <si>
    <t>TECNOGROUT-N/GR (KG)</t>
  </si>
  <si>
    <t>TECNOGROUT-K (25KG)</t>
  </si>
  <si>
    <t>TECNOGROUT-K (KG)</t>
  </si>
  <si>
    <t>TECNOGROUT-FIB (25KG)</t>
  </si>
  <si>
    <t>TECNOGROUT-FIB (KG)</t>
  </si>
  <si>
    <t>FERROGROUT-A (25KG)</t>
  </si>
  <si>
    <t>FERROGROUT-A (KG)</t>
  </si>
  <si>
    <t>FERROGROUT-A NEGRO (25KG)</t>
  </si>
  <si>
    <t>FERROGROUT-A NEGRO (KG)</t>
  </si>
  <si>
    <t>FERROGROUT-A RÁPIDO (25KG)</t>
  </si>
  <si>
    <t>FERROGROUT-A RÁPIDO (KG)</t>
  </si>
  <si>
    <t>FERROGROUT-A RÁPIDO NEGRO (25KG)</t>
  </si>
  <si>
    <t>FERROGROUT-A RÁPIDO NEGRO (KG)</t>
  </si>
  <si>
    <t>TECNOSTOP (25KG)</t>
  </si>
  <si>
    <t>TECNOSTOP (KG)</t>
  </si>
  <si>
    <t>TECNOGROUT-IN (20KG)</t>
  </si>
  <si>
    <t>TECNOGROUT-IN (KG)</t>
  </si>
  <si>
    <t>TECNOPOX-ANCLAJES (A+B 2KG)</t>
  </si>
  <si>
    <t>TECNOPOX-ANCLAJES (A+B 7KG)</t>
  </si>
  <si>
    <t>TECNOPOX-ANCLAJES (A+B 14KG)</t>
  </si>
  <si>
    <t>TECNOPOX-P (A+B 2KG)</t>
  </si>
  <si>
    <t>TECNOPOX-P (A+B 5KG)</t>
  </si>
  <si>
    <t>TECNOPOX-IN (A+B 2KG)</t>
  </si>
  <si>
    <t>TECNOPOX-IN (A+B 5KG)</t>
  </si>
  <si>
    <t>TECNOPOX-IN (A+B 1KG)</t>
  </si>
  <si>
    <t>TECNOPOX-FL (A+B 2KG)</t>
  </si>
  <si>
    <t>TECNOPOX-FL (A+B 5KG)</t>
  </si>
  <si>
    <t>TECNOPOX-FL (A+B 10KG)</t>
  </si>
  <si>
    <t>ADHEPOX-SPFM (A+B 2KG)</t>
  </si>
  <si>
    <t>ADHEPOX-SPFM (A+B 5KG)</t>
  </si>
  <si>
    <t>ADHEPOX-SPFM (A+B 10KG)</t>
  </si>
  <si>
    <t>TECNOPROT-EPOX (A+B 5KG)</t>
  </si>
  <si>
    <t>TECNOPOX-S (A+B 10KG)</t>
  </si>
  <si>
    <t>AGENTE TIXOTRÓPICO (10KG)</t>
  </si>
  <si>
    <t>AGENTE TIXOTRÓPICO (20KG)</t>
  </si>
  <si>
    <t>TECNOPOX-S (A+B 5KG)</t>
  </si>
  <si>
    <t>Cost price from Fran</t>
    <phoneticPr fontId="2" type="noConversion"/>
  </si>
  <si>
    <t>Cost price per unit</t>
    <phoneticPr fontId="2" type="noConversion"/>
  </si>
  <si>
    <t>??</t>
    <phoneticPr fontId="2" type="noConversion"/>
  </si>
  <si>
    <t>MO047F-1</t>
    <phoneticPr fontId="2" type="noConversion"/>
  </si>
  <si>
    <t>MO043F-1</t>
    <phoneticPr fontId="2" type="noConversion"/>
  </si>
  <si>
    <t>MO045F-1</t>
    <phoneticPr fontId="2" type="noConversion"/>
  </si>
  <si>
    <t>MO110F-1</t>
    <phoneticPr fontId="2" type="noConversion"/>
  </si>
  <si>
    <t>MO081F</t>
    <phoneticPr fontId="2" type="noConversion"/>
  </si>
  <si>
    <t>MO081F-1</t>
    <phoneticPr fontId="2" type="noConversion"/>
  </si>
  <si>
    <t>MO082F-1</t>
    <phoneticPr fontId="2" type="noConversion"/>
  </si>
  <si>
    <t>MO051F</t>
    <phoneticPr fontId="2" type="noConversion"/>
  </si>
  <si>
    <t>MO051F-1</t>
    <phoneticPr fontId="2" type="noConversion"/>
  </si>
  <si>
    <t>MO075F</t>
    <phoneticPr fontId="2" type="noConversion"/>
  </si>
  <si>
    <t>MO075F-1</t>
    <phoneticPr fontId="2" type="noConversion"/>
  </si>
  <si>
    <t>MO100F-1</t>
    <phoneticPr fontId="2" type="noConversion"/>
  </si>
  <si>
    <t>MO044F</t>
    <phoneticPr fontId="2" type="noConversion"/>
  </si>
  <si>
    <t>MO044F-1</t>
    <phoneticPr fontId="2" type="noConversion"/>
  </si>
  <si>
    <t>MO042F</t>
    <phoneticPr fontId="2" type="noConversion"/>
  </si>
  <si>
    <t>MO042F-1</t>
    <phoneticPr fontId="2" type="noConversion"/>
  </si>
  <si>
    <t>MO083F</t>
    <phoneticPr fontId="2" type="noConversion"/>
  </si>
  <si>
    <t>MO083F-1</t>
    <phoneticPr fontId="2" type="noConversion"/>
  </si>
  <si>
    <t>MO084F</t>
    <phoneticPr fontId="2" type="noConversion"/>
  </si>
  <si>
    <t>MO084F-1</t>
    <phoneticPr fontId="2" type="noConversion"/>
  </si>
  <si>
    <t>IM080F</t>
    <phoneticPr fontId="2" type="noConversion"/>
  </si>
  <si>
    <t>IM080F-1</t>
    <phoneticPr fontId="2" type="noConversion"/>
  </si>
  <si>
    <t>IM080F-1</t>
    <phoneticPr fontId="2" type="noConversion"/>
  </si>
  <si>
    <t>TECNOIMPER-FLEX (A+B KG)</t>
    <phoneticPr fontId="2" type="noConversion"/>
  </si>
  <si>
    <t>IM092F</t>
    <phoneticPr fontId="2" type="noConversion"/>
  </si>
  <si>
    <t>IM092F-1</t>
    <phoneticPr fontId="2" type="noConversion"/>
  </si>
  <si>
    <t>SPMO001</t>
    <phoneticPr fontId="2" type="noConversion"/>
  </si>
  <si>
    <t>default warehouse</t>
    <phoneticPr fontId="2" type="noConversion"/>
  </si>
  <si>
    <t>SILO</t>
  </si>
  <si>
    <t>SP</t>
    <phoneticPr fontId="2" type="noConversion"/>
  </si>
  <si>
    <t>InvD000003</t>
  </si>
  <si>
    <t>InvD000005</t>
  </si>
  <si>
    <t>ok</t>
    <phoneticPr fontId="2" type="noConversion"/>
  </si>
  <si>
    <t>Wait</t>
    <phoneticPr fontId="2" type="noConversion"/>
  </si>
  <si>
    <t>FL-010</t>
    <phoneticPr fontId="2" type="noConversion"/>
  </si>
  <si>
    <t>box of 11 bags</t>
    <phoneticPr fontId="2" type="noConversion"/>
  </si>
  <si>
    <t>1 bag has 900 g</t>
    <phoneticPr fontId="2" type="noConversion"/>
  </si>
  <si>
    <t>500 g</t>
    <phoneticPr fontId="2" type="noConversion"/>
  </si>
  <si>
    <t>2 cycles</t>
    <phoneticPr fontId="2" type="noConversion"/>
  </si>
  <si>
    <t>open 2 bags</t>
    <phoneticPr fontId="2" type="noConversion"/>
  </si>
  <si>
    <t>1 full bag</t>
    <phoneticPr fontId="2" type="noConversion"/>
  </si>
  <si>
    <t>1 bag for 100 g</t>
    <phoneticPr fontId="2" type="noConversion"/>
  </si>
  <si>
    <t>1 bag with 400g</t>
    <phoneticPr fontId="2" type="noConversion"/>
  </si>
  <si>
    <t>1 bag with 500g</t>
    <phoneticPr fontId="2" type="noConversion"/>
  </si>
  <si>
    <t>1 bag with 100g</t>
    <phoneticPr fontId="2" type="noConversion"/>
  </si>
  <si>
    <t>KG</t>
    <phoneticPr fontId="3" type="noConversion"/>
  </si>
  <si>
    <t>FR-010</t>
    <phoneticPr fontId="2" type="noConversion"/>
  </si>
  <si>
    <t>for the kit, you have 5kg per kit</t>
    <phoneticPr fontId="2" type="noConversion"/>
  </si>
  <si>
    <t>1 set is 5kg</t>
    <phoneticPr fontId="2" type="noConversion"/>
  </si>
  <si>
    <t>how can you make a RE050C as 2kg per piece</t>
    <phoneticPr fontId="2" type="noConversion"/>
  </si>
  <si>
    <t>MPRE033</t>
    <phoneticPr fontId="2" type="noConversion"/>
  </si>
  <si>
    <t>MPRE034</t>
    <phoneticPr fontId="2" type="noConversion"/>
  </si>
  <si>
    <t>FETADIT IN A+B 5KG</t>
    <phoneticPr fontId="2" type="noConversion"/>
  </si>
  <si>
    <t>FETADIT IN A+B 2KG</t>
    <phoneticPr fontId="2" type="noConversion"/>
  </si>
  <si>
    <t>FETADIT IN A+B 1KG</t>
    <phoneticPr fontId="2" type="noConversion"/>
  </si>
  <si>
    <t>ok</t>
    <phoneticPr fontId="2" type="noConversion"/>
  </si>
  <si>
    <t>need to update cost price of MPRE077</t>
    <phoneticPr fontId="2" type="noConversion"/>
  </si>
  <si>
    <t>ok</t>
    <phoneticPr fontId="2" type="noConversion"/>
  </si>
  <si>
    <t>?? Consumption of FS-570, 580</t>
    <phoneticPr fontId="2" type="noConversion"/>
  </si>
  <si>
    <t>ok</t>
    <phoneticPr fontId="2" type="noConversion"/>
  </si>
  <si>
    <t>wait</t>
    <phoneticPr fontId="2" type="noConversion"/>
  </si>
  <si>
    <t>SE-020</t>
    <phoneticPr fontId="2" type="noConversion"/>
  </si>
  <si>
    <t>AR-010</t>
    <phoneticPr fontId="2" type="noConversion"/>
  </si>
  <si>
    <t>Invent Unit</t>
    <phoneticPr fontId="2" type="noConversion"/>
  </si>
  <si>
    <t>BOM Unit</t>
    <phoneticPr fontId="2" type="noConversion"/>
  </si>
  <si>
    <t>KG</t>
    <phoneticPr fontId="2" type="noConversion"/>
  </si>
  <si>
    <t>OLD CODE</t>
  </si>
  <si>
    <t>SUPPLIER</t>
  </si>
  <si>
    <t>NEW CODE</t>
  </si>
  <si>
    <t>PRICE</t>
  </si>
  <si>
    <t>Price unit(KG)</t>
    <phoneticPr fontId="19" type="noConversion"/>
  </si>
  <si>
    <t>AX InventUnit</t>
    <phoneticPr fontId="19" type="noConversion"/>
  </si>
  <si>
    <t>Net Weight</t>
    <phoneticPr fontId="19" type="noConversion"/>
  </si>
  <si>
    <t>Price in AX unit</t>
    <phoneticPr fontId="19" type="noConversion"/>
  </si>
  <si>
    <t>CEMENTOS PORTLAND VALDERRIVAS</t>
  </si>
  <si>
    <t>KG</t>
    <phoneticPr fontId="19" type="noConversion"/>
  </si>
  <si>
    <t>BARCELONESA DE DROGAS</t>
  </si>
  <si>
    <t>KG</t>
    <phoneticPr fontId="19" type="noConversion"/>
  </si>
  <si>
    <t>BEKAERT</t>
  </si>
  <si>
    <t>BASF</t>
  </si>
  <si>
    <t>BRENNTAG QUIMICA</t>
  </si>
  <si>
    <t>DELTA TECNIC</t>
  </si>
  <si>
    <t>FUCHS LUBRICANTES</t>
  </si>
  <si>
    <t>GERDISA</t>
  </si>
  <si>
    <t>GIOVANNI BOZETTO</t>
  </si>
  <si>
    <t>GRUPO VERALIA</t>
  </si>
  <si>
    <t>HEIDELBERG CEMENT</t>
  </si>
  <si>
    <t>IMACETY</t>
  </si>
  <si>
    <t>IMCD</t>
  </si>
  <si>
    <t>MANUEL RIESGO</t>
  </si>
  <si>
    <t>MIBER</t>
  </si>
  <si>
    <t>MORENO DE PAZ</t>
  </si>
  <si>
    <t>NEUVNDIS</t>
  </si>
  <si>
    <t>OMYA</t>
  </si>
  <si>
    <t>SILICES GILARRANZ</t>
  </si>
  <si>
    <t>CAMP I JOVE</t>
  </si>
  <si>
    <t>COMINDEX</t>
  </si>
  <si>
    <t>FETADIT A+B 2 KG</t>
  </si>
  <si>
    <t>FETASA</t>
  </si>
  <si>
    <t>MPRE033</t>
    <phoneticPr fontId="19" type="noConversion"/>
  </si>
  <si>
    <t>FETADIT A+B 1 KG</t>
  </si>
  <si>
    <t>MPRE034</t>
    <phoneticPr fontId="19" type="noConversion"/>
  </si>
  <si>
    <t>FETADIT A+B 5 KG</t>
  </si>
  <si>
    <t>QUIMICA MER</t>
  </si>
  <si>
    <t>RALVA</t>
  </si>
  <si>
    <t>MPRE077</t>
    <phoneticPr fontId="19" type="noConversion"/>
  </si>
  <si>
    <t>DKSH Marketing Services Spain</t>
  </si>
  <si>
    <t>AGUAS DE ALCALA</t>
  </si>
  <si>
    <t>OXIDO DE PLOMO</t>
  </si>
  <si>
    <t>PM-630</t>
    <phoneticPr fontId="19" type="noConversion"/>
  </si>
  <si>
    <t>PM-640</t>
    <phoneticPr fontId="19" type="noConversion"/>
  </si>
  <si>
    <t>SEMI-PRODUCT</t>
  </si>
  <si>
    <t>S&amp;P REINFORCEMENT SPAIN</t>
  </si>
  <si>
    <t>ADHEPOX-SPFM (COMPONENTE A)</t>
  </si>
  <si>
    <t>ADHEPOX-SPFM (COMPONENTE B)</t>
  </si>
  <si>
    <t>TECNOPOX-P (COMPONENTE A)</t>
  </si>
  <si>
    <t>TECNOPOX-P (COMPONENTE B)</t>
  </si>
  <si>
    <t>TECNOPOX-S (COMPONENTE A)</t>
  </si>
  <si>
    <t>TECNOPOX-S (COMPONENTE B)</t>
  </si>
  <si>
    <t>TECNOPOX-ANCLAJES (COMPONENTE A)</t>
  </si>
  <si>
    <t>TECNOPOX-ANCLAJES (COMPONENTE B)</t>
  </si>
  <si>
    <t>TECNOPOX-IN (COMPONENTE A)</t>
  </si>
  <si>
    <t>TECNOPOX-IN (COMPONENTE B)</t>
  </si>
  <si>
    <t>TECNOPOX-FL (COMPONENTE A)</t>
  </si>
  <si>
    <t>TECNOPOX-FL (COMPONENTE B)</t>
  </si>
  <si>
    <t>TECNOPROT-EPOX (COMPONENTE A)</t>
  </si>
  <si>
    <t>TECNOPROT-EPOX (COMPONENTE B)</t>
  </si>
  <si>
    <t>TECNOPROT-EPOX (COMPONENTE C)</t>
  </si>
  <si>
    <t>Item Code</t>
    <phoneticPr fontId="2" type="noConversion"/>
  </si>
  <si>
    <t>TECNOACRY</t>
  </si>
  <si>
    <t>MPRE107</t>
  </si>
  <si>
    <t>TECNODIL-R</t>
  </si>
  <si>
    <t>AGENTE TIXOTROPICO</t>
  </si>
  <si>
    <t xml:space="preserve">TECNOGROUT-N </t>
  </si>
  <si>
    <t>TECNOGROUT-SR</t>
  </si>
  <si>
    <t>TECNOGROUT-N/PR</t>
  </si>
  <si>
    <t>TECNOGROUT-N/GR</t>
  </si>
  <si>
    <t>TECNOGROUT-IN</t>
  </si>
  <si>
    <t>FERROGROUT-A</t>
  </si>
  <si>
    <t>FERROGROUT-A (COLOR NEGRO)</t>
  </si>
  <si>
    <t>TECNOGROUT-K</t>
  </si>
  <si>
    <t>TECNOGROUT-FIB</t>
  </si>
  <si>
    <t>TECNOSTOP</t>
  </si>
  <si>
    <t>TECNOGROUT-N/PR RÁPIDO</t>
  </si>
  <si>
    <t>TECNOGROUT-N RÁPIDO</t>
  </si>
  <si>
    <t>FERROGROUT-A RÁPIDO</t>
  </si>
  <si>
    <t>FERROGROUT-A RÁPIDO (NEGRO)</t>
  </si>
  <si>
    <t>TECNOIMPER-FLEX</t>
  </si>
  <si>
    <t>TECNOIMPER</t>
  </si>
  <si>
    <t>Validate price (KG)</t>
    <phoneticPr fontId="2" type="noConversion"/>
  </si>
  <si>
    <t>Item code for validation</t>
    <phoneticPr fontId="2" type="noConversion"/>
  </si>
  <si>
    <t>Price per product unit</t>
    <phoneticPr fontId="2" type="noConversion"/>
  </si>
  <si>
    <t>Compare</t>
    <phoneticPr fontId="2" type="noConversion"/>
  </si>
  <si>
    <t>ITEM NAME</t>
  </si>
  <si>
    <t>Kg / hour /worker</t>
  </si>
  <si>
    <t>TECNOGROUT-N</t>
  </si>
  <si>
    <t xml:space="preserve">TECNOGROUT-N/GR </t>
  </si>
  <si>
    <t xml:space="preserve">TECNOGROUT-SR </t>
  </si>
  <si>
    <t xml:space="preserve">TECNOGROUT-K  </t>
  </si>
  <si>
    <t xml:space="preserve">TECNOGROUT-FIB </t>
  </si>
  <si>
    <t xml:space="preserve">TECNOIMPER </t>
  </si>
  <si>
    <t xml:space="preserve">TECNOSTOP  </t>
  </si>
  <si>
    <t xml:space="preserve">TECNOGROUT-IN </t>
  </si>
  <si>
    <t>TECNOGROUT-N RAPIDO</t>
  </si>
  <si>
    <t>TECNOGROUT-N/PR RAPIDO</t>
  </si>
  <si>
    <t>FERROGROUT-A NEGRO</t>
  </si>
  <si>
    <t>FERROGROUT-A RÁPIDO NEGRO</t>
  </si>
  <si>
    <t>TECNOACRY (5 Kg)</t>
  </si>
  <si>
    <t>TECNOACRY (25 Kg)</t>
  </si>
  <si>
    <t>TECNOACRY (200 Kg)</t>
  </si>
  <si>
    <t>TECNOPOX-ANCLAJES (A+B 2 KG)</t>
  </si>
  <si>
    <t>TECNOPOX-ANCLAJES (A+B 7 KG)</t>
  </si>
  <si>
    <t>TECNOPOX-ANCLAJES (A+B 14 KG)</t>
  </si>
  <si>
    <t>TECNOPOX-IN  (A+B 1 KG)</t>
  </si>
  <si>
    <t>TECNOPOX-IN (A+B 2 KG)</t>
  </si>
  <si>
    <t>TECNOPOX-IN (A+B 5 KG)</t>
  </si>
  <si>
    <t>TECNOPOX-FL (A+B 2 KG)</t>
  </si>
  <si>
    <t>TECNOPOX-FL (A+B 5 KG)</t>
  </si>
  <si>
    <t>TECNOPOX-FL (A+B 10 KG)</t>
  </si>
  <si>
    <t>ADHEPOX-SPFM (A+B 2 KG)</t>
  </si>
  <si>
    <t>ADHEPOX-SPFM (A+B 5 KG)</t>
  </si>
  <si>
    <t>ADHEPOX-SPFM (A+B 10 KG)</t>
  </si>
  <si>
    <t>TECNOPOX-P (A+B 2 KG)</t>
  </si>
  <si>
    <t>TECNOPOX-P (A+B 5 KG)</t>
  </si>
  <si>
    <t>TECNOPOX-S (A+B 5 KG)</t>
  </si>
  <si>
    <t>TECNOPOX-S (A+B 10 KG)</t>
  </si>
  <si>
    <t>TECNOPROT-EPOX (A+B+C 5 KG)</t>
  </si>
  <si>
    <t>AGENTE TIXOTRÓPICO (10 Kg)</t>
  </si>
  <si>
    <t>AGENTE TIXOTRÓPICO (20 Kg)</t>
  </si>
  <si>
    <t xml:space="preserve">TECNOPINT </t>
  </si>
  <si>
    <t>TECNODIL-R (5 L)</t>
  </si>
  <si>
    <t>TECNODIL-R (10 L)</t>
  </si>
  <si>
    <t>TECNODIL-R (25 L)</t>
  </si>
  <si>
    <t xml:space="preserve">TECNOIMPER-FLEX </t>
  </si>
  <si>
    <t>H</t>
    <phoneticPr fontId="2" type="noConversion"/>
  </si>
  <si>
    <t>H</t>
    <phoneticPr fontId="2" type="noConversion"/>
  </si>
  <si>
    <t>Unit conversion</t>
  </si>
  <si>
    <t>BOM existed?</t>
  </si>
  <si>
    <t>Item code for validation</t>
  </si>
  <si>
    <t>Validate price (KG)</t>
  </si>
  <si>
    <t>Price per product unit</t>
  </si>
  <si>
    <t>Compare</t>
  </si>
  <si>
    <t>BUK</t>
  </si>
  <si>
    <t>IM080F-1</t>
  </si>
  <si>
    <t>TECNOIMPER-FLEX (A+B KG)</t>
  </si>
  <si>
    <t>SET</t>
  </si>
  <si>
    <t>Cost price(material)</t>
    <phoneticPr fontId="2" type="noConversion"/>
  </si>
  <si>
    <t>Cost price(labor/overhead)</t>
    <phoneticPr fontId="2" type="noConversion"/>
  </si>
  <si>
    <t>ok</t>
    <phoneticPr fontId="2" type="noConversion"/>
  </si>
  <si>
    <t>Log</t>
  </si>
  <si>
    <t>AM20020019550</t>
  </si>
  <si>
    <t>AML200195050</t>
  </si>
  <si>
    <t>AML500195050</t>
  </si>
  <si>
    <t>ARMOWET025RB</t>
  </si>
  <si>
    <t>CS240200300</t>
  </si>
  <si>
    <t>CS240300300</t>
  </si>
  <si>
    <t>CS240400300</t>
  </si>
  <si>
    <t>CS240600300</t>
  </si>
  <si>
    <t>FX225_rb</t>
  </si>
  <si>
    <t>LA15005012</t>
  </si>
  <si>
    <t>LA15005014</t>
  </si>
  <si>
    <t>LA15008012</t>
  </si>
  <si>
    <t>LA15008014</t>
  </si>
  <si>
    <t>LA15010012</t>
  </si>
  <si>
    <t>LA15010014</t>
  </si>
  <si>
    <t>LA15012012</t>
  </si>
  <si>
    <t>LA15012014</t>
  </si>
  <si>
    <t>LARESI22015</t>
  </si>
  <si>
    <t>MPRE033</t>
  </si>
  <si>
    <t>MPRE034</t>
  </si>
  <si>
    <t>SHRESEPO55HP6KG</t>
  </si>
  <si>
    <t>Purchase</t>
    <phoneticPr fontId="2" type="noConversion"/>
  </si>
  <si>
    <t>Invent</t>
    <phoneticPr fontId="2" type="noConversion"/>
  </si>
  <si>
    <t>Sales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</si>
</sst>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0.0000"/>
    <numFmt numFmtId="177" formatCode="#,##0.0000\ &quot;€&quot;"/>
    <numFmt numFmtId="178" formatCode="0.000"/>
    <numFmt numFmtId="179" formatCode="0.00000"/>
  </numFmts>
  <fonts count="2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color rgb="FF000000"/>
      <name val="等线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9" fillId="0" borderId="0"/>
  </cellStyleXfs>
  <cellXfs count="334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Alignment="1"/>
    <xf numFmtId="0" fontId="4" fillId="0" borderId="0" xfId="0" quotePrefix="1" applyNumberFormat="1" applyFont="1" applyAlignment="1"/>
    <xf numFmtId="0" fontId="4" fillId="2" borderId="0" xfId="0" quotePrefix="1" applyNumberFormat="1" applyFont="1" applyFill="1" applyAlignment="1"/>
    <xf numFmtId="0" fontId="4" fillId="0" borderId="0" xfId="0" applyNumberFormat="1" applyFont="1" applyAlignment="1"/>
    <xf numFmtId="0" fontId="5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0" borderId="0" xfId="0" quotePrefix="1" applyNumberFormat="1" applyFont="1" applyAlignment="1"/>
    <xf numFmtId="0" fontId="7" fillId="0" borderId="0" xfId="0" applyNumberFormat="1" applyFont="1" applyAlignment="1"/>
    <xf numFmtId="0" fontId="5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4" fillId="2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4" fillId="0" borderId="6" xfId="0" applyNumberFormat="1" applyFont="1" applyBorder="1" applyAlignment="1"/>
    <xf numFmtId="0" fontId="7" fillId="4" borderId="6" xfId="0" applyNumberFormat="1" applyFont="1" applyFill="1" applyBorder="1" applyAlignment="1"/>
    <xf numFmtId="0" fontId="7" fillId="0" borderId="6" xfId="0" applyNumberFormat="1" applyFont="1" applyBorder="1" applyAlignment="1"/>
    <xf numFmtId="0" fontId="8" fillId="2" borderId="7" xfId="0" applyFont="1" applyFill="1" applyBorder="1" applyAlignment="1">
      <alignment horizontal="left"/>
    </xf>
    <xf numFmtId="0" fontId="4" fillId="4" borderId="8" xfId="0" applyNumberFormat="1" applyFont="1" applyFill="1" applyBorder="1" applyAlignment="1"/>
    <xf numFmtId="0" fontId="4" fillId="0" borderId="8" xfId="0" applyNumberFormat="1" applyFont="1" applyBorder="1" applyAlignment="1"/>
    <xf numFmtId="0" fontId="11" fillId="5" borderId="9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3" fillId="7" borderId="9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176" fontId="8" fillId="0" borderId="16" xfId="0" applyNumberFormat="1" applyFont="1" applyBorder="1" applyAlignment="1">
      <alignment horizontal="center"/>
    </xf>
    <xf numFmtId="176" fontId="8" fillId="0" borderId="17" xfId="0" applyNumberFormat="1" applyFont="1" applyBorder="1" applyAlignment="1">
      <alignment horizontal="center"/>
    </xf>
    <xf numFmtId="177" fontId="8" fillId="0" borderId="0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76" fontId="8" fillId="0" borderId="21" xfId="0" applyNumberFormat="1" applyFont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76" fontId="8" fillId="0" borderId="25" xfId="0" applyNumberFormat="1" applyFont="1" applyBorder="1" applyAlignment="1">
      <alignment horizontal="center"/>
    </xf>
    <xf numFmtId="176" fontId="8" fillId="0" borderId="14" xfId="0" applyNumberFormat="1" applyFont="1" applyBorder="1" applyAlignment="1">
      <alignment horizontal="center"/>
    </xf>
    <xf numFmtId="177" fontId="8" fillId="0" borderId="26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76" fontId="6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76" fontId="6" fillId="0" borderId="21" xfId="0" applyNumberFormat="1" applyFont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38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0" fillId="0" borderId="0" xfId="0" applyFill="1" applyBorder="1" applyAlignment="1"/>
    <xf numFmtId="0" fontId="8" fillId="0" borderId="36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8" fillId="0" borderId="16" xfId="0" applyNumberFormat="1" applyFont="1" applyBorder="1" applyAlignment="1">
      <alignment horizontal="center"/>
    </xf>
    <xf numFmtId="178" fontId="8" fillId="0" borderId="21" xfId="0" applyNumberFormat="1" applyFont="1" applyBorder="1" applyAlignment="1">
      <alignment horizontal="center"/>
    </xf>
    <xf numFmtId="178" fontId="8" fillId="0" borderId="2" xfId="0" applyNumberFormat="1" applyFont="1" applyBorder="1" applyAlignment="1">
      <alignment horizontal="center"/>
    </xf>
    <xf numFmtId="178" fontId="8" fillId="0" borderId="36" xfId="0" applyNumberFormat="1" applyFont="1" applyBorder="1" applyAlignment="1">
      <alignment horizontal="center"/>
    </xf>
    <xf numFmtId="0" fontId="15" fillId="0" borderId="0" xfId="0" applyNumberFormat="1" applyFont="1" applyAlignment="1"/>
    <xf numFmtId="0" fontId="4" fillId="4" borderId="5" xfId="0" quotePrefix="1" applyNumberFormat="1" applyFont="1" applyFill="1" applyBorder="1" applyAlignment="1"/>
    <xf numFmtId="0" fontId="4" fillId="0" borderId="5" xfId="0" quotePrefix="1" applyNumberFormat="1" applyFont="1" applyBorder="1" applyAlignment="1"/>
    <xf numFmtId="0" fontId="8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6" fillId="3" borderId="5" xfId="0" applyNumberFormat="1" applyFont="1" applyFill="1" applyBorder="1" applyAlignment="1"/>
    <xf numFmtId="0" fontId="16" fillId="3" borderId="6" xfId="0" applyNumberFormat="1" applyFont="1" applyFill="1" applyBorder="1" applyAlignment="1"/>
    <xf numFmtId="0" fontId="16" fillId="3" borderId="8" xfId="0" applyNumberFormat="1" applyFont="1" applyFill="1" applyBorder="1" applyAlignment="1"/>
    <xf numFmtId="0" fontId="4" fillId="2" borderId="6" xfId="0" quotePrefix="1" applyNumberFormat="1" applyFont="1" applyFill="1" applyBorder="1" applyAlignment="1"/>
    <xf numFmtId="0" fontId="4" fillId="4" borderId="6" xfId="0" quotePrefix="1" applyNumberFormat="1" applyFont="1" applyFill="1" applyBorder="1" applyAlignment="1"/>
    <xf numFmtId="0" fontId="4" fillId="0" borderId="6" xfId="0" quotePrefix="1" applyNumberFormat="1" applyFont="1" applyBorder="1" applyAlignment="1"/>
    <xf numFmtId="0" fontId="4" fillId="0" borderId="6" xfId="0" quotePrefix="1" applyNumberFormat="1" applyFont="1" applyBorder="1" applyAlignment="1">
      <alignment wrapText="1"/>
    </xf>
    <xf numFmtId="0" fontId="7" fillId="0" borderId="6" xfId="0" quotePrefix="1" applyNumberFormat="1" applyFont="1" applyBorder="1" applyAlignment="1"/>
    <xf numFmtId="0" fontId="7" fillId="0" borderId="8" xfId="0" applyNumberFormat="1" applyFont="1" applyBorder="1" applyAlignment="1"/>
    <xf numFmtId="0" fontId="7" fillId="4" borderId="6" xfId="0" quotePrefix="1" applyNumberFormat="1" applyFont="1" applyFill="1" applyBorder="1" applyAlignment="1"/>
    <xf numFmtId="0" fontId="7" fillId="4" borderId="8" xfId="0" applyNumberFormat="1" applyFont="1" applyFill="1" applyBorder="1" applyAlignment="1"/>
    <xf numFmtId="0" fontId="4" fillId="0" borderId="6" xfId="0" quotePrefix="1" applyNumberFormat="1" applyFont="1" applyFill="1" applyBorder="1" applyAlignment="1"/>
    <xf numFmtId="177" fontId="8" fillId="0" borderId="9" xfId="0" applyNumberFormat="1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2" fontId="12" fillId="6" borderId="0" xfId="0" applyNumberFormat="1" applyFont="1" applyFill="1" applyBorder="1" applyAlignment="1">
      <alignment horizontal="center" vertical="center" wrapText="1"/>
    </xf>
    <xf numFmtId="178" fontId="12" fillId="6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8" fillId="0" borderId="0" xfId="0" applyFont="1" applyFill="1" applyBorder="1" applyAlignment="1">
      <alignment horizontal="center"/>
    </xf>
    <xf numFmtId="0" fontId="0" fillId="0" borderId="0" xfId="0" quotePrefix="1">
      <alignment vertical="center"/>
    </xf>
    <xf numFmtId="177" fontId="8" fillId="0" borderId="41" xfId="0" applyNumberFormat="1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5" fillId="2" borderId="0" xfId="0" quotePrefix="1" applyNumberFormat="1" applyFont="1" applyFill="1" applyAlignment="1"/>
    <xf numFmtId="0" fontId="15" fillId="0" borderId="0" xfId="0" quotePrefix="1" applyNumberFormat="1" applyFont="1" applyAlignment="1"/>
    <xf numFmtId="0" fontId="15" fillId="2" borderId="0" xfId="0" applyNumberFormat="1" applyFont="1" applyFill="1" applyAlignment="1"/>
    <xf numFmtId="49" fontId="0" fillId="0" borderId="0" xfId="0" applyNumberFormat="1" applyAlignment="1"/>
    <xf numFmtId="0" fontId="4" fillId="8" borderId="6" xfId="0" applyNumberFormat="1" applyFont="1" applyFill="1" applyBorder="1" applyAlignment="1"/>
    <xf numFmtId="0" fontId="18" fillId="9" borderId="34" xfId="2" applyFont="1" applyFill="1" applyBorder="1" applyAlignment="1">
      <alignment horizontal="center"/>
    </xf>
    <xf numFmtId="0" fontId="18" fillId="9" borderId="13" xfId="2" applyFont="1" applyFill="1" applyBorder="1" applyAlignment="1">
      <alignment horizontal="center"/>
    </xf>
    <xf numFmtId="0" fontId="18" fillId="9" borderId="27" xfId="2" applyFont="1" applyFill="1" applyBorder="1" applyAlignment="1">
      <alignment horizontal="center"/>
    </xf>
    <xf numFmtId="0" fontId="18" fillId="9" borderId="0" xfId="2" applyFont="1" applyFill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16" xfId="3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177" fontId="6" fillId="0" borderId="17" xfId="4" applyNumberFormat="1" applyFont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49" fontId="6" fillId="0" borderId="1" xfId="3" applyNumberFormat="1" applyFont="1" applyBorder="1" applyAlignment="1" applyProtection="1">
      <alignment horizontal="center"/>
      <protection locked="0"/>
    </xf>
    <xf numFmtId="49" fontId="6" fillId="0" borderId="2" xfId="3" applyNumberFormat="1" applyFont="1" applyBorder="1" applyAlignment="1" applyProtection="1">
      <alignment horizontal="center"/>
      <protection locked="0"/>
    </xf>
    <xf numFmtId="0" fontId="6" fillId="0" borderId="2" xfId="2" applyFont="1" applyBorder="1" applyAlignment="1">
      <alignment horizontal="center"/>
    </xf>
    <xf numFmtId="177" fontId="6" fillId="0" borderId="18" xfId="4" applyNumberFormat="1" applyFont="1" applyBorder="1" applyAlignment="1">
      <alignment horizontal="center"/>
    </xf>
    <xf numFmtId="49" fontId="6" fillId="0" borderId="1" xfId="3" applyNumberFormat="1" applyFont="1" applyFill="1" applyBorder="1" applyAlignment="1" applyProtection="1">
      <alignment horizontal="center"/>
      <protection locked="0"/>
    </xf>
    <xf numFmtId="49" fontId="6" fillId="0" borderId="2" xfId="3" applyNumberFormat="1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20" fillId="0" borderId="0" xfId="0" applyFont="1" applyAlignment="1"/>
    <xf numFmtId="0" fontId="6" fillId="0" borderId="2" xfId="2" applyFont="1" applyFill="1" applyBorder="1" applyAlignment="1">
      <alignment horizontal="center"/>
    </xf>
    <xf numFmtId="177" fontId="6" fillId="0" borderId="18" xfId="4" applyNumberFormat="1" applyFont="1" applyFill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177" fontId="6" fillId="0" borderId="22" xfId="4" applyNumberFormat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77" fontId="6" fillId="0" borderId="0" xfId="4" applyNumberFormat="1" applyFont="1" applyFill="1" applyBorder="1" applyAlignment="1">
      <alignment horizontal="center"/>
    </xf>
    <xf numFmtId="49" fontId="8" fillId="0" borderId="1" xfId="3" applyNumberFormat="1" applyFont="1" applyBorder="1" applyAlignment="1" applyProtection="1">
      <alignment horizontal="center"/>
      <protection locked="0"/>
    </xf>
    <xf numFmtId="0" fontId="8" fillId="0" borderId="2" xfId="3" applyFont="1" applyBorder="1" applyAlignment="1">
      <alignment horizontal="center"/>
    </xf>
    <xf numFmtId="49" fontId="8" fillId="0" borderId="20" xfId="3" applyNumberFormat="1" applyFont="1" applyBorder="1" applyAlignment="1" applyProtection="1">
      <alignment horizontal="center"/>
      <protection locked="0"/>
    </xf>
    <xf numFmtId="0" fontId="8" fillId="0" borderId="21" xfId="3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177" fontId="6" fillId="0" borderId="22" xfId="4" applyNumberFormat="1" applyFont="1" applyBorder="1" applyAlignment="1">
      <alignment horizontal="center"/>
    </xf>
    <xf numFmtId="0" fontId="0" fillId="4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19" fillId="0" borderId="0" xfId="5"/>
    <xf numFmtId="0" fontId="11" fillId="5" borderId="9" xfId="5" applyFont="1" applyFill="1" applyBorder="1" applyAlignment="1">
      <alignment horizontal="center"/>
    </xf>
    <xf numFmtId="0" fontId="13" fillId="7" borderId="9" xfId="5" applyFont="1" applyFill="1" applyBorder="1" applyAlignment="1">
      <alignment horizontal="center"/>
    </xf>
    <xf numFmtId="0" fontId="13" fillId="7" borderId="12" xfId="5" applyFont="1" applyFill="1" applyBorder="1" applyAlignment="1">
      <alignment horizontal="center"/>
    </xf>
    <xf numFmtId="0" fontId="13" fillId="7" borderId="13" xfId="5" applyFont="1" applyFill="1" applyBorder="1" applyAlignment="1">
      <alignment horizontal="center"/>
    </xf>
    <xf numFmtId="0" fontId="13" fillId="7" borderId="14" xfId="5" applyFont="1" applyFill="1" applyBorder="1" applyAlignment="1">
      <alignment horizontal="center"/>
    </xf>
    <xf numFmtId="0" fontId="5" fillId="5" borderId="15" xfId="5" applyFont="1" applyFill="1" applyBorder="1" applyAlignment="1">
      <alignment horizontal="center"/>
    </xf>
    <xf numFmtId="0" fontId="8" fillId="0" borderId="16" xfId="5" applyFont="1" applyBorder="1" applyAlignment="1">
      <alignment horizontal="center"/>
    </xf>
    <xf numFmtId="176" fontId="8" fillId="0" borderId="16" xfId="5" applyNumberFormat="1" applyFont="1" applyBorder="1" applyAlignment="1">
      <alignment horizontal="center"/>
    </xf>
    <xf numFmtId="176" fontId="8" fillId="0" borderId="17" xfId="5" applyNumberFormat="1" applyFont="1" applyBorder="1" applyAlignment="1">
      <alignment horizontal="center"/>
    </xf>
    <xf numFmtId="0" fontId="5" fillId="5" borderId="1" xfId="5" applyFont="1" applyFill="1" applyBorder="1" applyAlignment="1">
      <alignment horizontal="center"/>
    </xf>
    <xf numFmtId="0" fontId="8" fillId="0" borderId="2" xfId="5" applyFont="1" applyBorder="1" applyAlignment="1">
      <alignment horizontal="center"/>
    </xf>
    <xf numFmtId="176" fontId="8" fillId="0" borderId="2" xfId="5" applyNumberFormat="1" applyFont="1" applyBorder="1" applyAlignment="1">
      <alignment horizontal="center"/>
    </xf>
    <xf numFmtId="176" fontId="8" fillId="0" borderId="18" xfId="5" applyNumberFormat="1" applyFont="1" applyBorder="1" applyAlignment="1">
      <alignment horizontal="center"/>
    </xf>
    <xf numFmtId="0" fontId="5" fillId="5" borderId="20" xfId="5" applyFont="1" applyFill="1" applyBorder="1" applyAlignment="1">
      <alignment horizontal="center"/>
    </xf>
    <xf numFmtId="0" fontId="8" fillId="0" borderId="21" xfId="5" applyFont="1" applyBorder="1" applyAlignment="1">
      <alignment horizontal="center"/>
    </xf>
    <xf numFmtId="176" fontId="8" fillId="0" borderId="21" xfId="5" applyNumberFormat="1" applyFont="1" applyBorder="1" applyAlignment="1">
      <alignment horizontal="center"/>
    </xf>
    <xf numFmtId="176" fontId="8" fillId="0" borderId="22" xfId="5" applyNumberFormat="1" applyFont="1" applyBorder="1" applyAlignment="1">
      <alignment horizontal="center"/>
    </xf>
    <xf numFmtId="0" fontId="14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176" fontId="8" fillId="0" borderId="0" xfId="5" applyNumberFormat="1" applyFont="1" applyAlignment="1">
      <alignment horizontal="center"/>
    </xf>
    <xf numFmtId="0" fontId="5" fillId="5" borderId="24" xfId="5" applyFont="1" applyFill="1" applyBorder="1" applyAlignment="1">
      <alignment horizontal="center"/>
    </xf>
    <xf numFmtId="0" fontId="8" fillId="0" borderId="25" xfId="5" applyFont="1" applyBorder="1" applyAlignment="1">
      <alignment horizontal="center"/>
    </xf>
    <xf numFmtId="176" fontId="8" fillId="0" borderId="25" xfId="5" applyNumberFormat="1" applyFont="1" applyBorder="1" applyAlignment="1">
      <alignment horizontal="center"/>
    </xf>
    <xf numFmtId="176" fontId="8" fillId="0" borderId="14" xfId="5" applyNumberFormat="1" applyFont="1" applyBorder="1" applyAlignment="1">
      <alignment horizontal="center"/>
    </xf>
    <xf numFmtId="177" fontId="8" fillId="0" borderId="26" xfId="5" applyNumberFormat="1" applyFont="1" applyBorder="1" applyAlignment="1">
      <alignment horizontal="center" vertical="center" wrapText="1"/>
    </xf>
    <xf numFmtId="0" fontId="19" fillId="0" borderId="52" xfId="5" applyBorder="1"/>
    <xf numFmtId="0" fontId="6" fillId="0" borderId="16" xfId="5" applyFont="1" applyBorder="1" applyAlignment="1">
      <alignment horizontal="center"/>
    </xf>
    <xf numFmtId="176" fontId="6" fillId="0" borderId="16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176" fontId="6" fillId="0" borderId="2" xfId="5" applyNumberFormat="1" applyFont="1" applyBorder="1" applyAlignment="1">
      <alignment horizontal="center"/>
    </xf>
    <xf numFmtId="0" fontId="6" fillId="0" borderId="21" xfId="5" applyFont="1" applyBorder="1" applyAlignment="1">
      <alignment horizontal="center"/>
    </xf>
    <xf numFmtId="176" fontId="6" fillId="0" borderId="21" xfId="5" applyNumberFormat="1" applyFont="1" applyBorder="1" applyAlignment="1">
      <alignment horizontal="center"/>
    </xf>
    <xf numFmtId="0" fontId="14" fillId="0" borderId="52" xfId="5" applyFont="1" applyBorder="1" applyAlignment="1">
      <alignment horizontal="center"/>
    </xf>
    <xf numFmtId="0" fontId="8" fillId="0" borderId="52" xfId="5" applyFont="1" applyBorder="1" applyAlignment="1">
      <alignment horizontal="center"/>
    </xf>
    <xf numFmtId="176" fontId="8" fillId="0" borderId="52" xfId="5" applyNumberFormat="1" applyFont="1" applyBorder="1" applyAlignment="1">
      <alignment horizontal="center"/>
    </xf>
    <xf numFmtId="0" fontId="13" fillId="7" borderId="27" xfId="5" applyFont="1" applyFill="1" applyBorder="1" applyAlignment="1">
      <alignment horizontal="center"/>
    </xf>
    <xf numFmtId="0" fontId="5" fillId="5" borderId="4" xfId="5" applyFont="1" applyFill="1" applyBorder="1" applyAlignment="1">
      <alignment horizontal="center"/>
    </xf>
    <xf numFmtId="0" fontId="8" fillId="0" borderId="28" xfId="5" applyFont="1" applyBorder="1" applyAlignment="1">
      <alignment horizontal="center"/>
    </xf>
    <xf numFmtId="176" fontId="8" fillId="0" borderId="28" xfId="5" applyNumberFormat="1" applyFont="1" applyBorder="1" applyAlignment="1">
      <alignment horizontal="center"/>
    </xf>
    <xf numFmtId="176" fontId="6" fillId="0" borderId="30" xfId="5" applyNumberFormat="1" applyFont="1" applyBorder="1" applyAlignment="1">
      <alignment horizontal="center"/>
    </xf>
    <xf numFmtId="176" fontId="8" fillId="0" borderId="31" xfId="5" applyNumberFormat="1" applyFont="1" applyBorder="1" applyAlignment="1">
      <alignment horizontal="center"/>
    </xf>
    <xf numFmtId="0" fontId="5" fillId="5" borderId="32" xfId="5" applyFont="1" applyFill="1" applyBorder="1" applyAlignment="1">
      <alignment horizontal="center"/>
    </xf>
    <xf numFmtId="0" fontId="6" fillId="0" borderId="33" xfId="5" applyFont="1" applyBorder="1" applyAlignment="1">
      <alignment horizontal="center"/>
    </xf>
    <xf numFmtId="0" fontId="5" fillId="5" borderId="34" xfId="5" applyFont="1" applyFill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5" fillId="5" borderId="35" xfId="5" applyFont="1" applyFill="1" applyBorder="1" applyAlignment="1">
      <alignment horizontal="center"/>
    </xf>
    <xf numFmtId="0" fontId="6" fillId="0" borderId="36" xfId="5" applyFont="1" applyBorder="1" applyAlignment="1">
      <alignment horizontal="center"/>
    </xf>
    <xf numFmtId="0" fontId="14" fillId="5" borderId="9" xfId="5" applyFont="1" applyFill="1" applyBorder="1" applyAlignment="1">
      <alignment horizontal="center"/>
    </xf>
    <xf numFmtId="0" fontId="13" fillId="7" borderId="26" xfId="5" applyFont="1" applyFill="1" applyBorder="1" applyAlignment="1">
      <alignment horizontal="center"/>
    </xf>
    <xf numFmtId="0" fontId="13" fillId="7" borderId="38" xfId="5" applyFont="1" applyFill="1" applyBorder="1" applyAlignment="1">
      <alignment horizontal="center"/>
    </xf>
    <xf numFmtId="0" fontId="13" fillId="7" borderId="25" xfId="5" applyFont="1" applyFill="1" applyBorder="1" applyAlignment="1">
      <alignment horizontal="center"/>
    </xf>
    <xf numFmtId="0" fontId="5" fillId="5" borderId="39" xfId="5" applyFont="1" applyFill="1" applyBorder="1" applyAlignment="1">
      <alignment horizontal="center"/>
    </xf>
    <xf numFmtId="0" fontId="8" fillId="0" borderId="40" xfId="5" applyFont="1" applyBorder="1" applyAlignment="1">
      <alignment horizontal="center"/>
    </xf>
    <xf numFmtId="0" fontId="8" fillId="0" borderId="36" xfId="5" applyFont="1" applyBorder="1" applyAlignment="1">
      <alignment horizontal="center"/>
    </xf>
    <xf numFmtId="176" fontId="8" fillId="0" borderId="36" xfId="5" applyNumberFormat="1" applyFont="1" applyBorder="1" applyAlignment="1">
      <alignment horizontal="center"/>
    </xf>
    <xf numFmtId="0" fontId="5" fillId="5" borderId="3" xfId="5" applyFont="1" applyFill="1" applyBorder="1" applyAlignment="1">
      <alignment horizontal="center"/>
    </xf>
    <xf numFmtId="0" fontId="8" fillId="0" borderId="42" xfId="5" applyFont="1" applyBorder="1" applyAlignment="1">
      <alignment horizontal="center"/>
    </xf>
    <xf numFmtId="0" fontId="5" fillId="5" borderId="43" xfId="5" applyFont="1" applyFill="1" applyBorder="1" applyAlignment="1">
      <alignment horizontal="center"/>
    </xf>
    <xf numFmtId="0" fontId="8" fillId="0" borderId="44" xfId="5" applyFont="1" applyBorder="1" applyAlignment="1">
      <alignment horizontal="center"/>
    </xf>
    <xf numFmtId="0" fontId="8" fillId="0" borderId="35" xfId="5" applyFont="1" applyBorder="1" applyAlignment="1">
      <alignment horizontal="center"/>
    </xf>
    <xf numFmtId="0" fontId="8" fillId="0" borderId="1" xfId="5" applyFont="1" applyBorder="1" applyAlignment="1">
      <alignment horizontal="center"/>
    </xf>
    <xf numFmtId="0" fontId="8" fillId="0" borderId="20" xfId="5" applyFont="1" applyBorder="1" applyAlignment="1">
      <alignment horizontal="center"/>
    </xf>
    <xf numFmtId="0" fontId="5" fillId="5" borderId="45" xfId="5" applyFont="1" applyFill="1" applyBorder="1" applyAlignment="1">
      <alignment horizontal="center"/>
    </xf>
    <xf numFmtId="0" fontId="8" fillId="0" borderId="46" xfId="5" applyFont="1" applyFill="1" applyBorder="1" applyAlignment="1">
      <alignment horizontal="center"/>
    </xf>
    <xf numFmtId="0" fontId="8" fillId="0" borderId="16" xfId="5" applyFont="1" applyFill="1" applyBorder="1" applyAlignment="1">
      <alignment horizontal="center"/>
    </xf>
    <xf numFmtId="176" fontId="8" fillId="0" borderId="16" xfId="5" applyNumberFormat="1" applyFont="1" applyFill="1" applyBorder="1" applyAlignment="1">
      <alignment horizontal="center" vertical="center"/>
    </xf>
    <xf numFmtId="176" fontId="8" fillId="0" borderId="36" xfId="5" applyNumberFormat="1" applyFont="1" applyBorder="1" applyAlignment="1">
      <alignment horizontal="center" vertical="center"/>
    </xf>
    <xf numFmtId="176" fontId="8" fillId="0" borderId="2" xfId="5" applyNumberFormat="1" applyFont="1" applyBorder="1" applyAlignment="1">
      <alignment horizontal="center" vertical="center"/>
    </xf>
    <xf numFmtId="0" fontId="14" fillId="5" borderId="43" xfId="5" applyFont="1" applyFill="1" applyBorder="1" applyAlignment="1">
      <alignment horizontal="center"/>
    </xf>
    <xf numFmtId="176" fontId="8" fillId="0" borderId="21" xfId="5" applyNumberFormat="1" applyFont="1" applyBorder="1" applyAlignment="1">
      <alignment horizontal="center" vertical="center"/>
    </xf>
    <xf numFmtId="0" fontId="19" fillId="0" borderId="0" xfId="5" applyFill="1" applyBorder="1"/>
    <xf numFmtId="0" fontId="8" fillId="0" borderId="36" xfId="5" applyFont="1" applyFill="1" applyBorder="1" applyAlignment="1">
      <alignment horizontal="center"/>
    </xf>
    <xf numFmtId="176" fontId="8" fillId="0" borderId="36" xfId="5" applyNumberFormat="1" applyFont="1" applyFill="1" applyBorder="1" applyAlignment="1">
      <alignment horizontal="center" vertical="center"/>
    </xf>
    <xf numFmtId="176" fontId="8" fillId="0" borderId="28" xfId="5" applyNumberFormat="1" applyFont="1" applyBorder="1" applyAlignment="1">
      <alignment horizontal="center" vertical="center"/>
    </xf>
    <xf numFmtId="0" fontId="8" fillId="0" borderId="47" xfId="5" applyFont="1" applyBorder="1" applyAlignment="1">
      <alignment horizontal="center"/>
    </xf>
    <xf numFmtId="0" fontId="5" fillId="5" borderId="48" xfId="5" applyFont="1" applyFill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8" fillId="0" borderId="15" xfId="5" applyFont="1" applyBorder="1" applyAlignment="1">
      <alignment horizontal="center"/>
    </xf>
    <xf numFmtId="2" fontId="8" fillId="0" borderId="16" xfId="5" applyNumberFormat="1" applyFont="1" applyBorder="1" applyAlignment="1">
      <alignment horizontal="center"/>
    </xf>
    <xf numFmtId="176" fontId="8" fillId="0" borderId="54" xfId="5" applyNumberFormat="1" applyFont="1" applyBorder="1" applyAlignment="1">
      <alignment horizontal="center"/>
    </xf>
    <xf numFmtId="2" fontId="8" fillId="0" borderId="2" xfId="5" applyNumberFormat="1" applyFont="1" applyBorder="1" applyAlignment="1">
      <alignment horizontal="center"/>
    </xf>
    <xf numFmtId="176" fontId="8" fillId="0" borderId="55" xfId="5" applyNumberFormat="1" applyFont="1" applyBorder="1" applyAlignment="1">
      <alignment horizontal="center"/>
    </xf>
    <xf numFmtId="2" fontId="8" fillId="0" borderId="28" xfId="5" applyNumberFormat="1" applyFont="1" applyBorder="1" applyAlignment="1">
      <alignment horizontal="center"/>
    </xf>
    <xf numFmtId="176" fontId="8" fillId="0" borderId="56" xfId="5" applyNumberFormat="1" applyFont="1" applyBorder="1" applyAlignment="1">
      <alignment horizontal="center"/>
    </xf>
    <xf numFmtId="2" fontId="8" fillId="0" borderId="21" xfId="5" applyNumberFormat="1" applyFont="1" applyBorder="1" applyAlignment="1">
      <alignment horizontal="center"/>
    </xf>
    <xf numFmtId="176" fontId="8" fillId="0" borderId="57" xfId="5" applyNumberFormat="1" applyFont="1" applyBorder="1" applyAlignment="1">
      <alignment horizontal="center"/>
    </xf>
    <xf numFmtId="2" fontId="8" fillId="0" borderId="0" xfId="5" applyNumberFormat="1" applyFont="1" applyAlignment="1">
      <alignment horizontal="center"/>
    </xf>
    <xf numFmtId="0" fontId="8" fillId="0" borderId="32" xfId="5" applyFont="1" applyFill="1" applyBorder="1" applyAlignment="1">
      <alignment horizontal="center"/>
    </xf>
    <xf numFmtId="178" fontId="8" fillId="0" borderId="16" xfId="5" applyNumberFormat="1" applyFont="1" applyBorder="1" applyAlignment="1">
      <alignment horizontal="center"/>
    </xf>
    <xf numFmtId="178" fontId="8" fillId="0" borderId="21" xfId="5" applyNumberFormat="1" applyFont="1" applyBorder="1" applyAlignment="1">
      <alignment horizontal="center"/>
    </xf>
    <xf numFmtId="178" fontId="8" fillId="0" borderId="2" xfId="5" applyNumberFormat="1" applyFont="1" applyBorder="1" applyAlignment="1">
      <alignment horizontal="center"/>
    </xf>
    <xf numFmtId="178" fontId="8" fillId="0" borderId="36" xfId="5" applyNumberFormat="1" applyFont="1" applyBorder="1" applyAlignment="1">
      <alignment horizontal="center"/>
    </xf>
    <xf numFmtId="176" fontId="8" fillId="0" borderId="58" xfId="5" applyNumberFormat="1" applyFont="1" applyBorder="1" applyAlignment="1">
      <alignment horizontal="center"/>
    </xf>
    <xf numFmtId="43" fontId="0" fillId="0" borderId="0" xfId="1" applyFont="1" applyAlignment="1"/>
    <xf numFmtId="0" fontId="0" fillId="10" borderId="0" xfId="0" applyFill="1" applyAlignment="1"/>
    <xf numFmtId="0" fontId="11" fillId="6" borderId="34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8" fillId="11" borderId="15" xfId="2" applyFont="1" applyFill="1" applyBorder="1" applyAlignment="1">
      <alignment horizontal="left" wrapText="1"/>
    </xf>
    <xf numFmtId="0" fontId="6" fillId="11" borderId="16" xfId="2" applyFont="1" applyFill="1" applyBorder="1" applyAlignment="1">
      <alignment horizontal="left" wrapText="1"/>
    </xf>
    <xf numFmtId="3" fontId="8" fillId="11" borderId="17" xfId="0" applyNumberFormat="1" applyFont="1" applyFill="1" applyBorder="1" applyAlignment="1">
      <alignment horizontal="center" wrapText="1"/>
    </xf>
    <xf numFmtId="0" fontId="8" fillId="11" borderId="1" xfId="2" applyFont="1" applyFill="1" applyBorder="1" applyAlignment="1">
      <alignment horizontal="left" wrapText="1"/>
    </xf>
    <xf numFmtId="0" fontId="6" fillId="11" borderId="2" xfId="2" applyFont="1" applyFill="1" applyBorder="1" applyAlignment="1">
      <alignment horizontal="left" wrapText="1"/>
    </xf>
    <xf numFmtId="3" fontId="8" fillId="11" borderId="18" xfId="0" applyNumberFormat="1" applyFont="1" applyFill="1" applyBorder="1" applyAlignment="1">
      <alignment horizontal="center" wrapText="1"/>
    </xf>
    <xf numFmtId="3" fontId="8" fillId="11" borderId="18" xfId="0" applyNumberFormat="1" applyFont="1" applyFill="1" applyBorder="1" applyAlignment="1">
      <alignment horizontal="center"/>
    </xf>
    <xf numFmtId="0" fontId="8" fillId="11" borderId="20" xfId="2" applyFont="1" applyFill="1" applyBorder="1" applyAlignment="1">
      <alignment horizontal="left" wrapText="1"/>
    </xf>
    <xf numFmtId="0" fontId="6" fillId="11" borderId="21" xfId="2" applyFont="1" applyFill="1" applyBorder="1" applyAlignment="1">
      <alignment horizontal="left" wrapText="1"/>
    </xf>
    <xf numFmtId="3" fontId="8" fillId="11" borderId="22" xfId="0" applyNumberFormat="1" applyFont="1" applyFill="1" applyBorder="1" applyAlignment="1">
      <alignment horizontal="center" wrapText="1"/>
    </xf>
    <xf numFmtId="43" fontId="23" fillId="12" borderId="0" xfId="1" applyFont="1" applyFill="1" applyAlignment="1"/>
    <xf numFmtId="0" fontId="0" fillId="2" borderId="0" xfId="0" applyFill="1" applyAlignment="1"/>
    <xf numFmtId="179" fontId="8" fillId="0" borderId="25" xfId="0" applyNumberFormat="1" applyFont="1" applyBorder="1" applyAlignment="1">
      <alignment horizontal="center"/>
    </xf>
    <xf numFmtId="177" fontId="8" fillId="0" borderId="27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77" fontId="8" fillId="0" borderId="41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2" fillId="6" borderId="49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/>
    </xf>
    <xf numFmtId="0" fontId="12" fillId="6" borderId="51" xfId="0" applyFont="1" applyFill="1" applyBorder="1" applyAlignment="1">
      <alignment horizontal="center" vertical="center" wrapText="1"/>
    </xf>
    <xf numFmtId="177" fontId="8" fillId="0" borderId="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7" fontId="8" fillId="0" borderId="17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7" fontId="8" fillId="0" borderId="27" xfId="0" applyNumberFormat="1" applyFont="1" applyFill="1" applyBorder="1" applyAlignment="1">
      <alignment horizontal="center" vertical="center" wrapText="1"/>
    </xf>
    <xf numFmtId="177" fontId="0" fillId="0" borderId="31" xfId="0" applyNumberFormat="1" applyBorder="1" applyAlignment="1">
      <alignment horizontal="center" vertical="center" wrapText="1"/>
    </xf>
    <xf numFmtId="177" fontId="0" fillId="0" borderId="37" xfId="0" applyNumberFormat="1" applyBorder="1" applyAlignment="1">
      <alignment horizontal="center" vertical="center" wrapText="1"/>
    </xf>
    <xf numFmtId="177" fontId="8" fillId="0" borderId="37" xfId="0" applyNumberFormat="1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177" fontId="8" fillId="0" borderId="31" xfId="0" applyNumberFormat="1" applyFont="1" applyFill="1" applyBorder="1" applyAlignment="1">
      <alignment horizontal="center" vertical="center" wrapText="1"/>
    </xf>
    <xf numFmtId="0" fontId="12" fillId="6" borderId="10" xfId="5" applyFont="1" applyFill="1" applyBorder="1" applyAlignment="1">
      <alignment horizontal="center" vertical="center" wrapText="1"/>
    </xf>
    <xf numFmtId="0" fontId="12" fillId="6" borderId="11" xfId="5" applyFont="1" applyFill="1" applyBorder="1" applyAlignment="1">
      <alignment horizontal="center" vertical="center" wrapText="1"/>
    </xf>
    <xf numFmtId="177" fontId="8" fillId="0" borderId="9" xfId="5" applyNumberFormat="1" applyFont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 wrapText="1"/>
    </xf>
    <xf numFmtId="0" fontId="19" fillId="0" borderId="19" xfId="5" applyBorder="1" applyAlignment="1">
      <alignment horizontal="center" vertical="center" wrapText="1"/>
    </xf>
    <xf numFmtId="0" fontId="19" fillId="0" borderId="23" xfId="5" applyBorder="1" applyAlignment="1">
      <alignment horizontal="center" vertical="center" wrapText="1"/>
    </xf>
    <xf numFmtId="177" fontId="8" fillId="0" borderId="17" xfId="5" applyNumberFormat="1" applyFont="1" applyBorder="1" applyAlignment="1">
      <alignment horizontal="center" vertical="center" wrapText="1"/>
    </xf>
    <xf numFmtId="0" fontId="8" fillId="0" borderId="18" xfId="5" applyFont="1" applyBorder="1" applyAlignment="1">
      <alignment horizontal="center" vertical="center" wrapText="1"/>
    </xf>
    <xf numFmtId="0" fontId="19" fillId="0" borderId="22" xfId="5" applyBorder="1" applyAlignment="1">
      <alignment horizontal="center" vertical="center" wrapText="1"/>
    </xf>
    <xf numFmtId="0" fontId="8" fillId="0" borderId="29" xfId="5" applyFont="1" applyBorder="1" applyAlignment="1">
      <alignment horizontal="center" vertical="center" wrapText="1"/>
    </xf>
    <xf numFmtId="177" fontId="8" fillId="0" borderId="27" xfId="5" applyNumberFormat="1" applyFont="1" applyBorder="1" applyAlignment="1">
      <alignment horizontal="center" vertical="center" wrapText="1"/>
    </xf>
    <xf numFmtId="0" fontId="19" fillId="0" borderId="37" xfId="5" applyBorder="1" applyAlignment="1">
      <alignment horizontal="center" vertical="center" wrapText="1"/>
    </xf>
    <xf numFmtId="177" fontId="8" fillId="0" borderId="41" xfId="5" applyNumberFormat="1" applyFont="1" applyBorder="1" applyAlignment="1">
      <alignment horizontal="center" vertical="center" wrapText="1"/>
    </xf>
    <xf numFmtId="0" fontId="8" fillId="0" borderId="22" xfId="5" applyFont="1" applyBorder="1" applyAlignment="1">
      <alignment horizontal="center" vertical="center" wrapText="1"/>
    </xf>
    <xf numFmtId="0" fontId="12" fillId="6" borderId="53" xfId="5" applyFont="1" applyFill="1" applyBorder="1" applyAlignment="1">
      <alignment horizontal="center" vertical="center" wrapText="1"/>
    </xf>
    <xf numFmtId="177" fontId="8" fillId="0" borderId="27" xfId="5" applyNumberFormat="1" applyFont="1" applyFill="1" applyBorder="1" applyAlignment="1">
      <alignment horizontal="center" vertical="center" wrapText="1"/>
    </xf>
    <xf numFmtId="177" fontId="19" fillId="0" borderId="31" xfId="5" applyNumberFormat="1" applyBorder="1" applyAlignment="1">
      <alignment horizontal="center" vertical="center" wrapText="1"/>
    </xf>
    <xf numFmtId="177" fontId="19" fillId="0" borderId="37" xfId="5" applyNumberFormat="1" applyBorder="1" applyAlignment="1">
      <alignment horizontal="center" vertical="center" wrapText="1"/>
    </xf>
    <xf numFmtId="177" fontId="8" fillId="0" borderId="31" xfId="5" applyNumberFormat="1" applyFont="1" applyFill="1" applyBorder="1" applyAlignment="1">
      <alignment horizontal="center" vertical="center" wrapText="1"/>
    </xf>
    <xf numFmtId="177" fontId="8" fillId="0" borderId="37" xfId="5" applyNumberFormat="1" applyFont="1" applyBorder="1" applyAlignment="1">
      <alignment horizontal="center" vertical="center" wrapText="1"/>
    </xf>
    <xf numFmtId="0" fontId="8" fillId="0" borderId="31" xfId="5" applyFont="1" applyBorder="1" applyAlignment="1">
      <alignment horizontal="center" vertical="center" wrapText="1"/>
    </xf>
    <xf numFmtId="0" fontId="12" fillId="6" borderId="49" xfId="5" applyFont="1" applyFill="1" applyBorder="1" applyAlignment="1">
      <alignment horizontal="center" vertical="center" wrapText="1"/>
    </xf>
    <xf numFmtId="0" fontId="12" fillId="6" borderId="50" xfId="5" applyFont="1" applyFill="1" applyBorder="1" applyAlignment="1">
      <alignment horizontal="center" vertical="center" wrapText="1"/>
    </xf>
    <xf numFmtId="0" fontId="12" fillId="6" borderId="51" xfId="5" applyFont="1" applyFill="1" applyBorder="1" applyAlignment="1">
      <alignment horizontal="center" vertical="center" wrapText="1"/>
    </xf>
    <xf numFmtId="0" fontId="8" fillId="0" borderId="37" xfId="5" applyFont="1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" xfId="5"/>
    <cellStyle name="Normal_CODIGOS" xfId="3"/>
    <cellStyle name="Normal_Hoja1" xfId="2"/>
    <cellStyle name="Normal_PRECIOS" xfId="4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QA/MasterDataReview/Item%20review%20form_371_SB_11282017_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UAT/UAT%20build/9.%20Final%20Output/Reviewed%20files/Item%20review%20form_371_UAT_12202017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Notes"/>
    </sheetNames>
    <sheetDataSet>
      <sheetData sheetId="0">
        <row r="2">
          <cell r="C2">
            <v>371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Item review form_371_UAT_122020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1:V64" totalsRowShown="0" headerRowDxfId="42" dataDxfId="41">
  <autoFilter ref="A1:V64"/>
  <tableColumns count="22">
    <tableColumn id="1" name="Item number"/>
    <tableColumn id="2" name="Item name"/>
    <tableColumn id="3" name="Item group" dataDxfId="40"/>
    <tableColumn id="4" name="Inventory model group" dataDxfId="39"/>
    <tableColumn id="5" name="Dimension group" dataDxfId="38"/>
    <tableColumn id="6" name="Item type" dataDxfId="37"/>
    <tableColumn id="10" name="Net weight" dataDxfId="36">
      <calculatedColumnFormula>VLOOKUP(Table1[[#This Row],[Item number]],'Full Item list'!B:J,9,0)</calculatedColumnFormula>
    </tableColumn>
    <tableColumn id="15" name="Invent Unit" dataDxfId="35">
      <calculatedColumnFormula>VLOOKUP(Table1[[#This Row],[Item number]],'Full Item list'!B:O,14,0)</calculatedColumnFormula>
    </tableColumn>
    <tableColumn id="16" name="Unit conversion" dataDxfId="34"/>
    <tableColumn id="18" name="Sales unit" dataDxfId="33"/>
    <tableColumn id="22" name="Branch" dataDxfId="32"/>
    <tableColumn id="23" name="Department" dataDxfId="31"/>
    <tableColumn id="24" name="Cost Center" dataDxfId="30"/>
    <tableColumn id="25" name="Purpose" dataDxfId="29"/>
    <tableColumn id="26" name="Tax Group" dataDxfId="28"/>
    <tableColumn id="27" name="Segment" dataDxfId="27"/>
    <tableColumn id="28" name="Major Marketing Group" dataDxfId="26"/>
    <tableColumn id="29" name="Detail Marketing Group" dataDxfId="25"/>
    <tableColumn id="30" name="Statutory" dataDxfId="24"/>
    <tableColumn id="31" name="Channel" dataDxfId="23"/>
    <tableColumn id="44" name="Cost Price" dataDxfId="22">
      <calculatedColumnFormula>VLOOKUP(Table1[[#This Row],[Item number]],'BOMs setting'!A:R,18,0)</calculatedColumnFormula>
    </tableColumn>
    <tableColumn id="46" name="BOM existed?" dataDxfId="21">
      <calculatedColumnFormula>VLOOKUP(Table1[[#This Row],[Item number]],'BOMs setting'!A:A,1,0)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47" totalsRowShown="0" headerRowDxfId="20" dataDxfId="19">
  <autoFilter ref="A1:U47"/>
  <tableColumns count="21">
    <tableColumn id="1" name="Item number"/>
    <tableColumn id="2" name="Item name"/>
    <tableColumn id="3" name="Item group" dataDxfId="18"/>
    <tableColumn id="4" name="Inventory model group" dataDxfId="17"/>
    <tableColumn id="5" name="Dimension group" dataDxfId="16"/>
    <tableColumn id="6" name="Item type" dataDxfId="15"/>
    <tableColumn id="15" name="Invent Unit" dataDxfId="14"/>
    <tableColumn id="16" name="Unit conversion" dataDxfId="13"/>
    <tableColumn id="17" name="Purchase unit" dataDxfId="12"/>
    <tableColumn id="18" name="Sales unit" dataDxfId="11"/>
    <tableColumn id="22" name="Branch" dataDxfId="10"/>
    <tableColumn id="23" name="Department" dataDxfId="9"/>
    <tableColumn id="24" name="Cost Center" dataDxfId="8"/>
    <tableColumn id="25" name="Purpose" dataDxfId="7"/>
    <tableColumn id="26" name="Tax Group" dataDxfId="6"/>
    <tableColumn id="27" name="Segment" dataDxfId="5"/>
    <tableColumn id="28" name="Major Marketing Group" dataDxfId="4"/>
    <tableColumn id="29" name="Detail Marketing Group" dataDxfId="3"/>
    <tableColumn id="30" name="Statutory" dataDxfId="2"/>
    <tableColumn id="31" name="Channel" dataDxfId="1"/>
    <tableColumn id="44" name="Cos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4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RowHeight="14.25"/>
  <cols>
    <col min="1" max="1" width="13.75" customWidth="1"/>
    <col min="2" max="2" width="40.625" bestFit="1" customWidth="1"/>
    <col min="3" max="3" width="12.25" hidden="1" customWidth="1"/>
    <col min="4" max="4" width="22.75" hidden="1" customWidth="1"/>
    <col min="5" max="5" width="17.875" hidden="1" customWidth="1"/>
    <col min="6" max="6" width="10.75" hidden="1" customWidth="1"/>
    <col min="7" max="7" width="12.25" customWidth="1"/>
    <col min="8" max="8" width="12.5" customWidth="1"/>
    <col min="9" max="9" width="16.875" hidden="1" customWidth="1"/>
    <col min="10" max="10" width="11.5" hidden="1" customWidth="1"/>
    <col min="11" max="11" width="9.125" hidden="1" customWidth="1"/>
    <col min="12" max="12" width="13.125" hidden="1" customWidth="1"/>
    <col min="13" max="13" width="13.5" hidden="1" customWidth="1"/>
    <col min="14" max="14" width="10.25" hidden="1" customWidth="1"/>
    <col min="15" max="15" width="12.125" hidden="1" customWidth="1"/>
    <col min="16" max="16" width="10.625" hidden="1" customWidth="1"/>
    <col min="17" max="17" width="23.25" hidden="1" customWidth="1"/>
    <col min="18" max="18" width="23.375" hidden="1" customWidth="1"/>
    <col min="19" max="19" width="10.75" hidden="1" customWidth="1"/>
    <col min="20" max="20" width="10.125" hidden="1" customWidth="1"/>
    <col min="21" max="21" width="12" customWidth="1"/>
    <col min="24" max="24" width="0" hidden="1" customWidth="1"/>
  </cols>
  <sheetData>
    <row r="1" spans="1:3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13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362</v>
      </c>
      <c r="X1" s="2" t="s">
        <v>724</v>
      </c>
      <c r="Y1" s="2" t="s">
        <v>723</v>
      </c>
      <c r="Z1" s="2" t="s">
        <v>725</v>
      </c>
      <c r="AB1" s="268" t="s">
        <v>726</v>
      </c>
      <c r="AD1" s="283" t="s">
        <v>780</v>
      </c>
      <c r="AE1" s="283" t="s">
        <v>781</v>
      </c>
    </row>
    <row r="2" spans="1:31" s="2" customFormat="1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46</v>
      </c>
      <c r="G2" s="5">
        <f>VLOOKUP(Table1[[#This Row],[Item number]],'Full Item list'!B:J,9,0)</f>
        <v>5</v>
      </c>
      <c r="H2" s="5" t="str">
        <f>VLOOKUP(Table1[[#This Row],[Item number]],'Full Item list'!B:O,14,0)</f>
        <v>PCS</v>
      </c>
      <c r="I2" s="5"/>
      <c r="J2" s="5" t="s">
        <v>50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f ca="1">VLOOKUP(Table1[[#This Row],[Item number]],'BOMs setting'!A:R,18,0)</f>
        <v>29.447665819563049</v>
      </c>
      <c r="V2" s="101" t="str">
        <f>VLOOKUP(Table1[[#This Row],[Item number]],'BOMs setting'!A:A,1,0)</f>
        <v>AD058F</v>
      </c>
      <c r="X2" s="103" t="s">
        <v>61</v>
      </c>
      <c r="Y2" s="2">
        <f>VLOOKUP(X2,'Products price validation'!A:B,2,0)</f>
        <v>0.97887075999999995</v>
      </c>
      <c r="Z2" s="2">
        <f>Y2*Table1[[#This Row],[Net weight]]</f>
        <v>4.8943537999999993</v>
      </c>
      <c r="AB2" s="267">
        <f ca="1">Table1[[#This Row],[Cost Price]]-Z2</f>
        <v>24.553312019563052</v>
      </c>
      <c r="AD2" s="2">
        <f>VLOOKUP(Table1[[#This Row],[Item number]],'Product list 121317'!A:U,21,0)</f>
        <v>4.8943537999999993</v>
      </c>
      <c r="AE2" s="2">
        <f ca="1">Table1[[#This Row],[Cost Price]]-AD2</f>
        <v>24.553312019563052</v>
      </c>
    </row>
    <row r="3" spans="1:31" s="2" customFormat="1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f>VLOOKUP(Table1[[#This Row],[Item number]],'Full Item list'!B:J,9,0)</f>
        <v>25</v>
      </c>
      <c r="H3" s="5" t="str">
        <f>VLOOKUP(Table1[[#This Row],[Item number]],'Full Item list'!B:O,14,0)</f>
        <v>PCS</v>
      </c>
      <c r="I3" s="5"/>
      <c r="J3" s="5" t="s">
        <v>50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f ca="1">VLOOKUP(Table1[[#This Row],[Item number]],'BOMs setting'!A:R,18,0)</f>
        <v>62.246095183943154</v>
      </c>
      <c r="V3" s="101" t="str">
        <f>VLOOKUP(Table1[[#This Row],[Item number]],'BOMs setting'!A:A,1,0)</f>
        <v>AD060F</v>
      </c>
      <c r="X3" s="103" t="s">
        <v>61</v>
      </c>
      <c r="Y3" s="2">
        <f>VLOOKUP(X3,'Products price validation'!A:B,2,0)</f>
        <v>0.97887075999999995</v>
      </c>
      <c r="Z3" s="2">
        <f>Y3*Table1[[#This Row],[Net weight]]</f>
        <v>24.471768999999998</v>
      </c>
      <c r="AB3" s="267">
        <f ca="1">Table1[[#This Row],[Cost Price]]-Z3</f>
        <v>37.77432618394316</v>
      </c>
      <c r="AD3" s="2">
        <f>VLOOKUP(Table1[[#This Row],[Item number]],'Product list 121317'!A:U,21,0)</f>
        <v>24.471768999999998</v>
      </c>
      <c r="AE3" s="2">
        <f ca="1">Table1[[#This Row],[Cost Price]]-AD3</f>
        <v>37.77432618394316</v>
      </c>
    </row>
    <row r="4" spans="1:31" s="2" customFormat="1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46</v>
      </c>
      <c r="G4" s="5">
        <f>VLOOKUP(Table1[[#This Row],[Item number]],'Full Item list'!B:J,9,0)</f>
        <v>200</v>
      </c>
      <c r="H4" s="5" t="str">
        <f>VLOOKUP(Table1[[#This Row],[Item number]],'Full Item list'!B:O,14,0)</f>
        <v>PCS</v>
      </c>
      <c r="I4" s="5"/>
      <c r="J4" s="5" t="s">
        <v>50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f ca="1">VLOOKUP(Table1[[#This Row],[Item number]],'BOMs setting'!A:R,18,0)</f>
        <v>359.46289879708695</v>
      </c>
      <c r="V4" s="101" t="str">
        <f>VLOOKUP(Table1[[#This Row],[Item number]],'BOMs setting'!A:A,1,0)</f>
        <v>AD070F</v>
      </c>
      <c r="X4" s="103" t="s">
        <v>61</v>
      </c>
      <c r="Y4" s="2">
        <f>VLOOKUP(X4,'Products price validation'!A:B,2,0)</f>
        <v>0.97887075999999995</v>
      </c>
      <c r="Z4" s="2">
        <f>Y4*Table1[[#This Row],[Net weight]]</f>
        <v>195.77415199999999</v>
      </c>
      <c r="AB4" s="267">
        <f ca="1">Table1[[#This Row],[Cost Price]]-Z4</f>
        <v>163.68874679708696</v>
      </c>
      <c r="AD4" s="2">
        <f>VLOOKUP(Table1[[#This Row],[Item number]],'Product list 121317'!A:U,21,0)</f>
        <v>195.77415199999999</v>
      </c>
      <c r="AE4" s="2">
        <f ca="1">Table1[[#This Row],[Cost Price]]-AD4</f>
        <v>163.68874679708696</v>
      </c>
    </row>
    <row r="5" spans="1:31" s="2" customFormat="1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46</v>
      </c>
      <c r="G5" s="5">
        <f>VLOOKUP(Table1[[#This Row],[Item number]],'Full Item list'!B:J,9,0)</f>
        <v>4.3499999999999996</v>
      </c>
      <c r="H5" s="5" t="str">
        <f>VLOOKUP(Table1[[#This Row],[Item number]],'Full Item list'!B:O,14,0)</f>
        <v>PCS</v>
      </c>
      <c r="I5" s="5"/>
      <c r="J5" s="5" t="s">
        <v>50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f ca="1">VLOOKUP(Table1[[#This Row],[Item number]],'BOMs setting'!A:R,18,0)</f>
        <v>21.526398058793781</v>
      </c>
      <c r="V5" s="101" t="str">
        <f>VLOOKUP(Table1[[#This Row],[Item number]],'BOMs setting'!A:A,1,0)</f>
        <v>DI006C</v>
      </c>
      <c r="X5" s="103" t="s">
        <v>106</v>
      </c>
      <c r="Y5" s="2">
        <f>VLOOKUP(X5,'Products price validation'!A:B,2,0)</f>
        <v>1.2</v>
      </c>
      <c r="Z5" s="2">
        <f>Y5*Table1[[#This Row],[Net weight]]</f>
        <v>5.22</v>
      </c>
      <c r="AB5" s="267">
        <f ca="1">Table1[[#This Row],[Cost Price]]-Z5</f>
        <v>16.306398058793782</v>
      </c>
      <c r="AD5" s="2">
        <f>VLOOKUP(Table1[[#This Row],[Item number]],'Product list 121317'!A:U,21,0)</f>
        <v>5.22</v>
      </c>
      <c r="AE5" s="2">
        <f ca="1">Table1[[#This Row],[Cost Price]]-AD5</f>
        <v>16.306398058793782</v>
      </c>
    </row>
    <row r="6" spans="1:31" s="2" customFormat="1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46</v>
      </c>
      <c r="G6" s="5">
        <f>VLOOKUP(Table1[[#This Row],[Item number]],'Full Item list'!B:J,9,0)</f>
        <v>8.6999999999999993</v>
      </c>
      <c r="H6" s="5" t="str">
        <f>VLOOKUP(Table1[[#This Row],[Item number]],'Full Item list'!B:O,14,0)</f>
        <v>PCS</v>
      </c>
      <c r="I6" s="5"/>
      <c r="J6" s="5" t="s">
        <v>50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f ca="1">VLOOKUP(Table1[[#This Row],[Item number]],'BOMs setting'!A:R,18,0)</f>
        <v>34.853007379451263</v>
      </c>
      <c r="V6" s="101" t="str">
        <f>VLOOKUP(Table1[[#This Row],[Item number]],'BOMs setting'!A:A,1,0)</f>
        <v>DI008C</v>
      </c>
      <c r="X6" s="103" t="s">
        <v>106</v>
      </c>
      <c r="Y6" s="2">
        <f>VLOOKUP(X6,'Products price validation'!A:B,2,0)</f>
        <v>1.2</v>
      </c>
      <c r="Z6" s="2">
        <f>Y6*Table1[[#This Row],[Net weight]]</f>
        <v>10.44</v>
      </c>
      <c r="AB6" s="267">
        <f ca="1">Table1[[#This Row],[Cost Price]]-Z6</f>
        <v>24.413007379451265</v>
      </c>
      <c r="AD6" s="2">
        <f>VLOOKUP(Table1[[#This Row],[Item number]],'Product list 121317'!A:U,21,0)</f>
        <v>10.44</v>
      </c>
      <c r="AE6" s="2">
        <f ca="1">Table1[[#This Row],[Cost Price]]-AD6</f>
        <v>24.413007379451265</v>
      </c>
    </row>
    <row r="7" spans="1:31" s="2" customFormat="1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f>VLOOKUP(Table1[[#This Row],[Item number]],'Full Item list'!B:J,9,0)</f>
        <v>21.75</v>
      </c>
      <c r="H7" s="5" t="str">
        <f>VLOOKUP(Table1[[#This Row],[Item number]],'Full Item list'!B:O,14,0)</f>
        <v>PCS</v>
      </c>
      <c r="I7" s="5"/>
      <c r="J7" s="5" t="s">
        <v>50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f ca="1">VLOOKUP(Table1[[#This Row],[Item number]],'BOMs setting'!A:R,18,0)</f>
        <v>67.022186699271742</v>
      </c>
      <c r="V7" s="101" t="str">
        <f>VLOOKUP(Table1[[#This Row],[Item number]],'BOMs setting'!A:A,1,0)</f>
        <v>DI010C</v>
      </c>
      <c r="X7" s="103" t="s">
        <v>106</v>
      </c>
      <c r="Y7" s="2">
        <f>VLOOKUP(X7,'Products price validation'!A:B,2,0)</f>
        <v>1.2</v>
      </c>
      <c r="Z7" s="2">
        <f>Y7*Table1[[#This Row],[Net weight]]</f>
        <v>26.099999999999998</v>
      </c>
      <c r="AB7" s="267">
        <f ca="1">Table1[[#This Row],[Cost Price]]-Z7</f>
        <v>40.922186699271748</v>
      </c>
      <c r="AD7" s="2">
        <f>VLOOKUP(Table1[[#This Row],[Item number]],'Product list 121317'!A:U,21,0)</f>
        <v>26.099999999999998</v>
      </c>
      <c r="AE7" s="2">
        <f ca="1">Table1[[#This Row],[Cost Price]]-AD7</f>
        <v>40.922186699271748</v>
      </c>
    </row>
    <row r="8" spans="1:31" s="2" customFormat="1">
      <c r="A8" s="3" t="s">
        <v>596</v>
      </c>
      <c r="B8" s="3" t="s">
        <v>597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f>VLOOKUP(Table1[[#This Row],[Item number]],'Full Item list'!B:J,9,0)</f>
        <v>1</v>
      </c>
      <c r="H8" s="5" t="str">
        <f>VLOOKUP(Table1[[#This Row],[Item number]],'Full Item list'!B:O,14,0)</f>
        <v>KG</v>
      </c>
      <c r="I8" s="5"/>
      <c r="J8" s="5" t="s">
        <v>131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f ca="1">VLOOKUP(Table1[[#This Row],[Item number]],'BOMs setting'!A:R,18,0)</f>
        <v>1.4748602823789805</v>
      </c>
      <c r="V8" s="101" t="str">
        <f>VLOOKUP(Table1[[#This Row],[Item number]],'BOMs setting'!A:A,1,0)</f>
        <v>IM080F-1</v>
      </c>
      <c r="X8" s="102" t="s">
        <v>130</v>
      </c>
      <c r="Y8" s="2">
        <f>VLOOKUP(X8,'Products price validation'!A:B,2,0)</f>
        <v>0.60927039716765752</v>
      </c>
      <c r="Z8" s="2">
        <f>Y8*Table1[[#This Row],[Net weight]]</f>
        <v>0.60927039716765752</v>
      </c>
      <c r="AB8" s="267">
        <f ca="1">Table1[[#This Row],[Cost Price]]-Z8</f>
        <v>0.86558988521132296</v>
      </c>
      <c r="AD8" s="2">
        <f>VLOOKUP(Table1[[#This Row],[Item number]],'Product list 121317'!A:U,21,0)</f>
        <v>0.61030704225352117</v>
      </c>
      <c r="AE8" s="2">
        <f ca="1">Table1[[#This Row],[Cost Price]]-AD8</f>
        <v>0.86455324012545931</v>
      </c>
    </row>
    <row r="9" spans="1:31" s="2" customFormat="1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f>VLOOKUP(Table1[[#This Row],[Item number]],'Full Item list'!B:J,9,0)</f>
        <v>28.4</v>
      </c>
      <c r="H9" s="5" t="str">
        <f>VLOOKUP(Table1[[#This Row],[Item number]],'Full Item list'!B:O,14,0)</f>
        <v>PCS</v>
      </c>
      <c r="I9" s="5"/>
      <c r="J9" s="5" t="s">
        <v>131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f ca="1">VLOOKUP(Table1[[#This Row],[Item number]],'BOMs setting'!A:R,18,0)</f>
        <v>41.886032019563046</v>
      </c>
      <c r="V9" s="101" t="str">
        <f>VLOOKUP(Table1[[#This Row],[Item number]],'BOMs setting'!A:A,1,0)</f>
        <v>IM080F</v>
      </c>
      <c r="X9" s="103" t="s">
        <v>130</v>
      </c>
      <c r="Y9" s="2">
        <f>VLOOKUP(X9,'Products price validation'!A:B,2,0)</f>
        <v>0.60927039716765752</v>
      </c>
      <c r="Z9" s="2">
        <f>Y9*Table1[[#This Row],[Net weight]]</f>
        <v>17.303279279561472</v>
      </c>
      <c r="AB9" s="267">
        <f ca="1">Table1[[#This Row],[Cost Price]]-Z9</f>
        <v>24.582752740001574</v>
      </c>
      <c r="AD9" s="2">
        <f>VLOOKUP(Table1[[#This Row],[Item number]],'Product list 121317'!A:U,21,0)</f>
        <v>17.332720000000002</v>
      </c>
      <c r="AE9" s="2">
        <f ca="1">Table1[[#This Row],[Cost Price]]-AD9</f>
        <v>24.553312019563045</v>
      </c>
    </row>
    <row r="10" spans="1:31" s="2" customFormat="1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f>VLOOKUP(Table1[[#This Row],[Item number]],'Full Item list'!B:J,9,0)</f>
        <v>25</v>
      </c>
      <c r="H10" s="5" t="str">
        <f>VLOOKUP(Table1[[#This Row],[Item number]],'Full Item list'!B:O,14,0)</f>
        <v>PCS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f ca="1">VLOOKUP(Table1[[#This Row],[Item number]],'BOMs setting'!A:R,18,0)</f>
        <v>10.704083992914715</v>
      </c>
      <c r="V10" s="101" t="str">
        <f>VLOOKUP(Table1[[#This Row],[Item number]],'BOMs setting'!A:A,1,0)</f>
        <v>IM092F</v>
      </c>
      <c r="X10" s="102" t="s">
        <v>132</v>
      </c>
      <c r="Y10" s="2">
        <f>VLOOKUP(X10,'Products price validation'!A:B,2,0)</f>
        <v>0.23470166452623334</v>
      </c>
      <c r="Z10" s="2">
        <f>Y10*Table1[[#This Row],[Net weight]]</f>
        <v>5.8675416131558338</v>
      </c>
      <c r="AB10" s="267">
        <f ca="1">Table1[[#This Row],[Cost Price]]-Z10</f>
        <v>4.8365423797588809</v>
      </c>
      <c r="AD10" s="2">
        <f>VLOOKUP(Table1[[#This Row],[Item number]],'Product list 121317'!A:U,21,0)</f>
        <v>4.5657559880239518</v>
      </c>
      <c r="AE10" s="2">
        <f ca="1">Table1[[#This Row],[Cost Price]]-AD10</f>
        <v>6.1383280048907629</v>
      </c>
    </row>
    <row r="11" spans="1:31" s="2" customFormat="1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f>VLOOKUP(Table1[[#This Row],[Item number]],'Full Item list'!B:J,9,0)</f>
        <v>1</v>
      </c>
      <c r="H11" s="5" t="str">
        <f>VLOOKUP(Table1[[#This Row],[Item number]],'Full Item list'!B:O,14,0)</f>
        <v>KG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f ca="1">VLOOKUP(Table1[[#This Row],[Item number]],'BOMs setting'!A:R,18,0)</f>
        <v>0.42816335971658859</v>
      </c>
      <c r="V11" s="101" t="str">
        <f>VLOOKUP(Table1[[#This Row],[Item number]],'BOMs setting'!A:A,1,0)</f>
        <v>IM092F-1</v>
      </c>
      <c r="X11" s="103" t="s">
        <v>132</v>
      </c>
      <c r="Y11" s="2">
        <f>VLOOKUP(X11,'Products price validation'!A:B,2,0)</f>
        <v>0.23470166452623334</v>
      </c>
      <c r="Z11" s="2">
        <f>Y11*Table1[[#This Row],[Net weight]]</f>
        <v>0.23470166452623334</v>
      </c>
      <c r="AB11" s="267">
        <f ca="1">Table1[[#This Row],[Cost Price]]-Z11</f>
        <v>0.19346169519035525</v>
      </c>
      <c r="AD11" s="2">
        <f>VLOOKUP(Table1[[#This Row],[Item number]],'Product list 121317'!A:U,21,0)</f>
        <v>0.18263023952095808</v>
      </c>
      <c r="AE11" s="2">
        <f ca="1">Table1[[#This Row],[Cost Price]]-AD11</f>
        <v>0.24553312019563051</v>
      </c>
    </row>
    <row r="12" spans="1:31" s="2" customFormat="1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f>VLOOKUP(Table1[[#This Row],[Item number]],'Full Item list'!B:J,9,0)</f>
        <v>25</v>
      </c>
      <c r="H12" s="5" t="str">
        <f>VLOOKUP(Table1[[#This Row],[Item number]],'Full Item list'!B:O,14,0)</f>
        <v>PCS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f ca="1">VLOOKUP(Table1[[#This Row],[Item number]],'BOMs setting'!A:R,18,0)</f>
        <v>4.8003963172927859</v>
      </c>
      <c r="V12" s="101" t="str">
        <f>VLOOKUP(Table1[[#This Row],[Item number]],'BOMs setting'!A:A,1,0)</f>
        <v>MO041F</v>
      </c>
      <c r="X12" s="102" t="s">
        <v>149</v>
      </c>
      <c r="Y12" s="2">
        <f>VLOOKUP(X12,'Products price validation'!A:B,2,0)</f>
        <v>7.2178950483330034E-2</v>
      </c>
      <c r="Z12" s="2">
        <f>Y12*Table1[[#This Row],[Net weight]]</f>
        <v>1.8044737620832509</v>
      </c>
      <c r="AB12" s="267">
        <f ca="1">Table1[[#This Row],[Cost Price]]-Z12</f>
        <v>2.995922555209535</v>
      </c>
      <c r="AD12" s="2">
        <f>VLOOKUP(Table1[[#This Row],[Item number]],'Product list 121317'!A:U,21,0)</f>
        <v>1.7312323148474043</v>
      </c>
      <c r="AE12" s="2">
        <f ca="1">Table1[[#This Row],[Cost Price]]-AD12</f>
        <v>3.0691640024453815</v>
      </c>
    </row>
    <row r="13" spans="1:31" s="2" customFormat="1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f>VLOOKUP(Table1[[#This Row],[Item number]],'Full Item list'!B:J,9,0)</f>
        <v>1</v>
      </c>
      <c r="H13" s="5" t="str">
        <f>VLOOKUP(Table1[[#This Row],[Item number]],'Full Item list'!B:O,14,0)</f>
        <v>KG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f ca="1">VLOOKUP(Table1[[#This Row],[Item number]],'BOMs setting'!A:R,18,0)</f>
        <v>0.19201585269171145</v>
      </c>
      <c r="V13" s="101" t="str">
        <f>VLOOKUP(Table1[[#This Row],[Item number]],'BOMs setting'!A:A,1,0)</f>
        <v>MO041F-1</v>
      </c>
      <c r="X13" s="103" t="s">
        <v>149</v>
      </c>
      <c r="Y13" s="2">
        <f>VLOOKUP(X13,'Products price validation'!A:B,2,0)</f>
        <v>7.2178950483330034E-2</v>
      </c>
      <c r="Z13" s="2">
        <f>Y13*Table1[[#This Row],[Net weight]]</f>
        <v>7.2178950483330034E-2</v>
      </c>
      <c r="AB13" s="267">
        <f ca="1">Table1[[#This Row],[Cost Price]]-Z13</f>
        <v>0.11983690220838142</v>
      </c>
      <c r="AD13" s="2">
        <f>VLOOKUP(Table1[[#This Row],[Item number]],'Product list 121317'!A:U,21,0)</f>
        <v>6.9249292593896172E-2</v>
      </c>
      <c r="AE13" s="2">
        <f ca="1">Table1[[#This Row],[Cost Price]]-AD13</f>
        <v>0.12276656009781528</v>
      </c>
    </row>
    <row r="14" spans="1:31" s="2" customFormat="1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f>VLOOKUP(Table1[[#This Row],[Item number]],'Full Item list'!B:J,9,0)</f>
        <v>25</v>
      </c>
      <c r="H14" s="5" t="str">
        <f>VLOOKUP(Table1[[#This Row],[Item number]],'Full Item list'!B:O,14,0)</f>
        <v>PCS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f ca="1">VLOOKUP(Table1[[#This Row],[Item number]],'BOMs setting'!A:R,18,0)</f>
        <v>7.1254928333545058</v>
      </c>
      <c r="V14" s="101" t="str">
        <f>VLOOKUP(Table1[[#This Row],[Item number]],'BOMs setting'!A:A,1,0)</f>
        <v>MO042F</v>
      </c>
      <c r="X14" s="102" t="s">
        <v>151</v>
      </c>
      <c r="Y14" s="2">
        <f>VLOOKUP(X14,'Products price validation'!A:B,2,0)</f>
        <v>0.12414857792946528</v>
      </c>
      <c r="Z14" s="2">
        <f>Y14*Table1[[#This Row],[Net weight]]</f>
        <v>3.1037144482366319</v>
      </c>
      <c r="AB14" s="267">
        <f ca="1">Table1[[#This Row],[Cost Price]]-Z14</f>
        <v>4.0217783851178739</v>
      </c>
      <c r="AD14" s="2">
        <f>VLOOKUP(Table1[[#This Row],[Item number]],'Product list 121317'!A:U,21,0)</f>
        <v>3.0332741634273312</v>
      </c>
      <c r="AE14" s="2">
        <f ca="1">Table1[[#This Row],[Cost Price]]-AD14</f>
        <v>4.0922186699271741</v>
      </c>
    </row>
    <row r="15" spans="1:31" s="2" customFormat="1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f>VLOOKUP(Table1[[#This Row],[Item number]],'Full Item list'!B:J,9,0)</f>
        <v>1</v>
      </c>
      <c r="H15" s="5" t="str">
        <f>VLOOKUP(Table1[[#This Row],[Item number]],'Full Item list'!B:O,14,0)</f>
        <v>KG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f ca="1">VLOOKUP(Table1[[#This Row],[Item number]],'BOMs setting'!A:R,18,0)</f>
        <v>0.28501971333418025</v>
      </c>
      <c r="V15" s="101" t="str">
        <f>VLOOKUP(Table1[[#This Row],[Item number]],'BOMs setting'!A:A,1,0)</f>
        <v>MO042F-1</v>
      </c>
      <c r="X15" s="103" t="s">
        <v>151</v>
      </c>
      <c r="Y15" s="2">
        <f>VLOOKUP(X15,'Products price validation'!A:B,2,0)</f>
        <v>0.12414857792946528</v>
      </c>
      <c r="Z15" s="2">
        <f>Y15*Table1[[#This Row],[Net weight]]</f>
        <v>0.12414857792946528</v>
      </c>
      <c r="AB15" s="267">
        <f ca="1">Table1[[#This Row],[Cost Price]]-Z15</f>
        <v>0.16087113540471498</v>
      </c>
      <c r="AD15" s="2">
        <f>VLOOKUP(Table1[[#This Row],[Item number]],'Product list 121317'!A:U,21,0)</f>
        <v>0.12133096653709324</v>
      </c>
      <c r="AE15" s="2">
        <f ca="1">Table1[[#This Row],[Cost Price]]-AD15</f>
        <v>0.163688746797087</v>
      </c>
    </row>
    <row r="16" spans="1:31" s="2" customFormat="1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f>VLOOKUP(Table1[[#This Row],[Item number]],'Full Item list'!B:J,9,0)</f>
        <v>25</v>
      </c>
      <c r="H16" s="5" t="str">
        <f>VLOOKUP(Table1[[#This Row],[Item number]],'Full Item list'!B:O,14,0)</f>
        <v>PCS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f ca="1">VLOOKUP(Table1[[#This Row],[Item number]],'BOMs setting'!A:R,18,0)</f>
        <v>4.9390196057045141</v>
      </c>
      <c r="V16" s="101" t="str">
        <f>VLOOKUP(Table1[[#This Row],[Item number]],'BOMs setting'!A:A,1,0)</f>
        <v>MO043F</v>
      </c>
      <c r="X16" s="102" t="s">
        <v>152</v>
      </c>
      <c r="Y16" s="2">
        <f>VLOOKUP(X16,'Products price validation'!A:B,2,0)</f>
        <v>7.6727667186124809E-2</v>
      </c>
      <c r="Z16" s="2">
        <f>Y16*Table1[[#This Row],[Net weight]]</f>
        <v>1.9181916796531202</v>
      </c>
      <c r="AB16" s="267">
        <f ca="1">Table1[[#This Row],[Cost Price]]-Z16</f>
        <v>3.0208279260513939</v>
      </c>
      <c r="AD16" s="2">
        <f>VLOOKUP(Table1[[#This Row],[Item number]],'Product list 121317'!A:U,21,0)</f>
        <v>1.8698556032591327</v>
      </c>
      <c r="AE16" s="2">
        <f ca="1">Table1[[#This Row],[Cost Price]]-AD16</f>
        <v>3.0691640024453815</v>
      </c>
    </row>
    <row r="17" spans="1:31" s="2" customFormat="1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f>VLOOKUP(Table1[[#This Row],[Item number]],'Full Item list'!B:J,9,0)</f>
        <v>1</v>
      </c>
      <c r="H17" s="5" t="str">
        <f>VLOOKUP(Table1[[#This Row],[Item number]],'Full Item list'!B:O,14,0)</f>
        <v>KG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f ca="1">VLOOKUP(Table1[[#This Row],[Item number]],'BOMs setting'!A:R,18,0)</f>
        <v>0.19756078422818057</v>
      </c>
      <c r="V17" s="101" t="str">
        <f>VLOOKUP(Table1[[#This Row],[Item number]],'BOMs setting'!A:A,1,0)</f>
        <v>MO043F-1</v>
      </c>
      <c r="X17" s="103" t="s">
        <v>152</v>
      </c>
      <c r="Y17" s="2">
        <f>VLOOKUP(X17,'Products price validation'!A:B,2,0)</f>
        <v>7.6727667186124809E-2</v>
      </c>
      <c r="Z17" s="2">
        <f>Y17*Table1[[#This Row],[Net weight]]</f>
        <v>7.6727667186124809E-2</v>
      </c>
      <c r="AB17" s="267">
        <f ca="1">Table1[[#This Row],[Cost Price]]-Z17</f>
        <v>0.12083311704205577</v>
      </c>
      <c r="AD17" s="2">
        <f>VLOOKUP(Table1[[#This Row],[Item number]],'Product list 121317'!A:U,21,0)</f>
        <v>7.4794224130365308E-2</v>
      </c>
      <c r="AE17" s="2">
        <f ca="1">Table1[[#This Row],[Cost Price]]-AD17</f>
        <v>0.12276656009781527</v>
      </c>
    </row>
    <row r="18" spans="1:31" s="2" customFormat="1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f>VLOOKUP(Table1[[#This Row],[Item number]],'Full Item list'!B:J,9,0)</f>
        <v>25</v>
      </c>
      <c r="H18" s="5" t="str">
        <f>VLOOKUP(Table1[[#This Row],[Item number]],'Full Item list'!B:O,14,0)</f>
        <v>PCS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f ca="1">VLOOKUP(Table1[[#This Row],[Item number]],'BOMs setting'!A:R,18,0)</f>
        <v>7.1345035757653736</v>
      </c>
      <c r="V18" s="101" t="str">
        <f>VLOOKUP(Table1[[#This Row],[Item number]],'BOMs setting'!A:A,1,0)</f>
        <v>MO044F</v>
      </c>
      <c r="X18" s="102" t="s">
        <v>153</v>
      </c>
      <c r="Y18" s="2">
        <f>VLOOKUP(X18,'Products price validation'!A:B,2,0)</f>
        <v>0.16454701569214297</v>
      </c>
      <c r="Z18" s="2">
        <f>Y18*Table1[[#This Row],[Net weight]]</f>
        <v>4.1136753923035743</v>
      </c>
      <c r="AB18" s="267">
        <f ca="1">Table1[[#This Row],[Cost Price]]-Z18</f>
        <v>3.0208281834617994</v>
      </c>
      <c r="AD18" s="2">
        <f>VLOOKUP(Table1[[#This Row],[Item number]],'Product list 121317'!A:U,21,0)</f>
        <v>3.0422849058381973</v>
      </c>
      <c r="AE18" s="2">
        <f ca="1">Table1[[#This Row],[Cost Price]]-AD18</f>
        <v>4.0922186699271759</v>
      </c>
    </row>
    <row r="19" spans="1:31" s="2" customFormat="1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f>VLOOKUP(Table1[[#This Row],[Item number]],'Full Item list'!B:J,9,0)</f>
        <v>1</v>
      </c>
      <c r="H19" s="5" t="str">
        <f>VLOOKUP(Table1[[#This Row],[Item number]],'Full Item list'!B:O,14,0)</f>
        <v>KG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f ca="1">VLOOKUP(Table1[[#This Row],[Item number]],'BOMs setting'!A:R,18,0)</f>
        <v>0.28538014303061493</v>
      </c>
      <c r="V19" s="101" t="str">
        <f>VLOOKUP(Table1[[#This Row],[Item number]],'BOMs setting'!A:A,1,0)</f>
        <v>MO044F-1</v>
      </c>
      <c r="X19" s="103" t="s">
        <v>153</v>
      </c>
      <c r="Y19" s="2">
        <f>VLOOKUP(X19,'Products price validation'!A:B,2,0)</f>
        <v>0.16454701569214297</v>
      </c>
      <c r="Z19" s="2">
        <f>Y19*Table1[[#This Row],[Net weight]]</f>
        <v>0.16454701569214297</v>
      </c>
      <c r="AB19" s="267">
        <f ca="1">Table1[[#This Row],[Cost Price]]-Z19</f>
        <v>0.12083312733847196</v>
      </c>
      <c r="AD19" s="2">
        <f>VLOOKUP(Table1[[#This Row],[Item number]],'Product list 121317'!A:U,21,0)</f>
        <v>0.1216913962335279</v>
      </c>
      <c r="AE19" s="2">
        <f ca="1">Table1[[#This Row],[Cost Price]]-AD19</f>
        <v>0.16368874679708703</v>
      </c>
    </row>
    <row r="20" spans="1:31" s="2" customFormat="1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f>VLOOKUP(Table1[[#This Row],[Item number]],'Full Item list'!B:J,9,0)</f>
        <v>25</v>
      </c>
      <c r="H20" s="5" t="str">
        <f>VLOOKUP(Table1[[#This Row],[Item number]],'Full Item list'!B:O,14,0)</f>
        <v>PCS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f ca="1">VLOOKUP(Table1[[#This Row],[Item number]],'BOMs setting'!A:R,18,0)</f>
        <v>4.6243800049383035</v>
      </c>
      <c r="V20" s="101" t="str">
        <f>VLOOKUP(Table1[[#This Row],[Item number]],'BOMs setting'!A:A,1,0)</f>
        <v>MO045F</v>
      </c>
      <c r="X20" s="102" t="s">
        <v>154</v>
      </c>
      <c r="Y20" s="2">
        <f>VLOOKUP(X20,'Products price validation'!A:B,2,0)</f>
        <v>6.4509084849061996E-2</v>
      </c>
      <c r="Z20" s="2">
        <f>Y20*Table1[[#This Row],[Net weight]]</f>
        <v>1.6127271212265499</v>
      </c>
      <c r="AB20" s="267">
        <f ca="1">Table1[[#This Row],[Cost Price]]-Z20</f>
        <v>3.0116528837117533</v>
      </c>
      <c r="AD20" s="2">
        <f>VLOOKUP(Table1[[#This Row],[Item number]],'Product list 121317'!A:U,21,0)</f>
        <v>1.5552160024929218</v>
      </c>
      <c r="AE20" s="2">
        <f ca="1">Table1[[#This Row],[Cost Price]]-AD20</f>
        <v>3.0691640024453815</v>
      </c>
    </row>
    <row r="21" spans="1:31" s="2" customFormat="1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f>VLOOKUP(Table1[[#This Row],[Item number]],'Full Item list'!B:J,9,0)</f>
        <v>1</v>
      </c>
      <c r="H21" s="5" t="str">
        <f>VLOOKUP(Table1[[#This Row],[Item number]],'Full Item list'!B:O,14,0)</f>
        <v>KG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f ca="1">VLOOKUP(Table1[[#This Row],[Item number]],'BOMs setting'!A:R,18,0)</f>
        <v>0.18497520019753214</v>
      </c>
      <c r="V21" s="101" t="str">
        <f>VLOOKUP(Table1[[#This Row],[Item number]],'BOMs setting'!A:A,1,0)</f>
        <v>MO045F-1</v>
      </c>
      <c r="X21" s="103" t="s">
        <v>154</v>
      </c>
      <c r="Y21" s="2">
        <f>VLOOKUP(X21,'Products price validation'!A:B,2,0)</f>
        <v>6.4509084849061996E-2</v>
      </c>
      <c r="Z21" s="2">
        <f>Y21*Table1[[#This Row],[Net weight]]</f>
        <v>6.4509084849061996E-2</v>
      </c>
      <c r="AB21" s="267">
        <f ca="1">Table1[[#This Row],[Cost Price]]-Z21</f>
        <v>0.12046611534847014</v>
      </c>
      <c r="AD21" s="2">
        <f>VLOOKUP(Table1[[#This Row],[Item number]],'Product list 121317'!A:U,21,0)</f>
        <v>6.2208640099716876E-2</v>
      </c>
      <c r="AE21" s="2">
        <f ca="1">Table1[[#This Row],[Cost Price]]-AD21</f>
        <v>0.12276656009781525</v>
      </c>
    </row>
    <row r="22" spans="1:31" s="2" customFormat="1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f>VLOOKUP(Table1[[#This Row],[Item number]],'Full Item list'!B:J,9,0)</f>
        <v>25</v>
      </c>
      <c r="H22" s="5" t="str">
        <f>VLOOKUP(Table1[[#This Row],[Item number]],'Full Item list'!B:O,14,0)</f>
        <v>PCS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f ca="1">VLOOKUP(Table1[[#This Row],[Item number]],'BOMs setting'!A:R,18,0)</f>
        <v>4.8003963172927859</v>
      </c>
      <c r="V22" s="101" t="str">
        <f>VLOOKUP(Table1[[#This Row],[Item number]],'BOMs setting'!A:A,1,0)</f>
        <v>MO047F</v>
      </c>
      <c r="X22" s="102" t="s">
        <v>155</v>
      </c>
      <c r="Y22" s="2">
        <f>VLOOKUP(X22,'Products price validation'!A:B,2,0)</f>
        <v>7.2178950483330034E-2</v>
      </c>
      <c r="Z22" s="2">
        <f>Y22*Table1[[#This Row],[Net weight]]</f>
        <v>1.8044737620832509</v>
      </c>
      <c r="AB22" s="267">
        <f ca="1">Table1[[#This Row],[Cost Price]]-Z22</f>
        <v>2.995922555209535</v>
      </c>
      <c r="AD22" s="2">
        <f>VLOOKUP(Table1[[#This Row],[Item number]],'Product list 121317'!A:U,21,0)</f>
        <v>1.7312323148474043</v>
      </c>
      <c r="AE22" s="2">
        <f ca="1">Table1[[#This Row],[Cost Price]]-AD22</f>
        <v>3.0691640024453815</v>
      </c>
    </row>
    <row r="23" spans="1:31" s="2" customFormat="1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f>VLOOKUP(Table1[[#This Row],[Item number]],'Full Item list'!B:J,9,0)</f>
        <v>1</v>
      </c>
      <c r="H23" s="5" t="str">
        <f>VLOOKUP(Table1[[#This Row],[Item number]],'Full Item list'!B:O,14,0)</f>
        <v>KG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f ca="1">VLOOKUP(Table1[[#This Row],[Item number]],'BOMs setting'!A:R,18,0)</f>
        <v>0.19201585269171145</v>
      </c>
      <c r="V23" s="101" t="str">
        <f>VLOOKUP(Table1[[#This Row],[Item number]],'BOMs setting'!A:A,1,0)</f>
        <v>MO047F-1</v>
      </c>
      <c r="X23" s="103" t="s">
        <v>155</v>
      </c>
      <c r="Y23" s="2">
        <f>VLOOKUP(X23,'Products price validation'!A:B,2,0)</f>
        <v>7.2178950483330034E-2</v>
      </c>
      <c r="Z23" s="2">
        <f>Y23*Table1[[#This Row],[Net weight]]</f>
        <v>7.2178950483330034E-2</v>
      </c>
      <c r="AB23" s="267">
        <f ca="1">Table1[[#This Row],[Cost Price]]-Z23</f>
        <v>0.11983690220838142</v>
      </c>
      <c r="AD23" s="2">
        <f>VLOOKUP(Table1[[#This Row],[Item number]],'Product list 121317'!A:U,21,0)</f>
        <v>6.9249292593896172E-2</v>
      </c>
      <c r="AE23" s="2">
        <f ca="1">Table1[[#This Row],[Cost Price]]-AD23</f>
        <v>0.12276656009781528</v>
      </c>
    </row>
    <row r="24" spans="1:31" s="2" customFormat="1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f>VLOOKUP(Table1[[#This Row],[Item number]],'Full Item list'!B:J,9,0)</f>
        <v>25</v>
      </c>
      <c r="H24" s="5" t="str">
        <f>VLOOKUP(Table1[[#This Row],[Item number]],'Full Item list'!B:O,14,0)</f>
        <v>PCS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f ca="1">VLOOKUP(Table1[[#This Row],[Item number]],'BOMs setting'!A:R,18,0)</f>
        <v>6.2930968721428879</v>
      </c>
      <c r="V24" s="101" t="str">
        <f>VLOOKUP(Table1[[#This Row],[Item number]],'BOMs setting'!A:A,1,0)</f>
        <v>MO051F</v>
      </c>
      <c r="X24" s="102" t="s">
        <v>156</v>
      </c>
      <c r="Y24" s="2">
        <f>VLOOKUP(X24,'Products price validation'!A:B,2,0)</f>
        <v>8.9863095116829883E-2</v>
      </c>
      <c r="Z24" s="2">
        <f>Y24*Table1[[#This Row],[Net weight]]</f>
        <v>2.246577377920747</v>
      </c>
      <c r="AB24" s="267">
        <f ca="1">Table1[[#This Row],[Cost Price]]-Z24</f>
        <v>4.0465194942221405</v>
      </c>
      <c r="AD24" s="2">
        <f>VLOOKUP(Table1[[#This Row],[Item number]],'Product list 121317'!A:U,21,0)</f>
        <v>2.200878202215713</v>
      </c>
      <c r="AE24" s="2">
        <f ca="1">Table1[[#This Row],[Cost Price]]-AD24</f>
        <v>4.092218669927175</v>
      </c>
    </row>
    <row r="25" spans="1:31" s="2" customFormat="1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f>VLOOKUP(Table1[[#This Row],[Item number]],'Full Item list'!B:J,9,0)</f>
        <v>1</v>
      </c>
      <c r="H25" s="5" t="str">
        <f>VLOOKUP(Table1[[#This Row],[Item number]],'Full Item list'!B:O,14,0)</f>
        <v>KG</v>
      </c>
      <c r="I25" s="5"/>
      <c r="J25" s="5" t="s">
        <v>50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f ca="1">VLOOKUP(Table1[[#This Row],[Item number]],'BOMs setting'!A:R,18,0)</f>
        <v>0.25172387488571552</v>
      </c>
      <c r="V25" s="101" t="str">
        <f>VLOOKUP(Table1[[#This Row],[Item number]],'BOMs setting'!A:A,1,0)</f>
        <v>MO051F-1</v>
      </c>
      <c r="X25" s="103" t="s">
        <v>156</v>
      </c>
      <c r="Y25" s="2">
        <f>VLOOKUP(X25,'Products price validation'!A:B,2,0)</f>
        <v>8.9863095116829883E-2</v>
      </c>
      <c r="Z25" s="2">
        <f>Y25*Table1[[#This Row],[Net weight]]</f>
        <v>8.9863095116829883E-2</v>
      </c>
      <c r="AB25" s="267">
        <f ca="1">Table1[[#This Row],[Cost Price]]-Z25</f>
        <v>0.16186077976888563</v>
      </c>
      <c r="AD25" s="2">
        <f>VLOOKUP(Table1[[#This Row],[Item number]],'Product list 121317'!A:U,21,0)</f>
        <v>8.8035128088628525E-2</v>
      </c>
      <c r="AE25" s="2">
        <f ca="1">Table1[[#This Row],[Cost Price]]-AD25</f>
        <v>0.163688746797087</v>
      </c>
    </row>
    <row r="26" spans="1:31" s="2" customFormat="1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f>VLOOKUP(Table1[[#This Row],[Item number]],'Full Item list'!B:J,9,0)</f>
        <v>25</v>
      </c>
      <c r="H26" s="5" t="str">
        <f>VLOOKUP(Table1[[#This Row],[Item number]],'Full Item list'!B:O,14,0)</f>
        <v>PCS</v>
      </c>
      <c r="I26" s="5"/>
      <c r="J26" s="5" t="s">
        <v>131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f ca="1">VLOOKUP(Table1[[#This Row],[Item number]],'BOMs setting'!A:R,18,0)</f>
        <v>6.9324308971642878</v>
      </c>
      <c r="V26" s="101" t="str">
        <f>VLOOKUP(Table1[[#This Row],[Item number]],'BOMs setting'!A:A,1,0)</f>
        <v>MO075F</v>
      </c>
      <c r="X26" s="102" t="s">
        <v>157</v>
      </c>
      <c r="Y26" s="2">
        <f>VLOOKUP(X26,'Products price validation'!A:B,2,0)</f>
        <v>0.11936911548241508</v>
      </c>
      <c r="Z26" s="2">
        <f>Y26*Table1[[#This Row],[Net weight]]</f>
        <v>2.9842278870603769</v>
      </c>
      <c r="AB26" s="267">
        <f ca="1">Table1[[#This Row],[Cost Price]]-Z26</f>
        <v>3.9482030101039109</v>
      </c>
      <c r="AD26" s="2">
        <f>VLOOKUP(Table1[[#This Row],[Item number]],'Product list 121317'!A:U,21,0)</f>
        <v>2.8402122272371129</v>
      </c>
      <c r="AE26" s="2">
        <f ca="1">Table1[[#This Row],[Cost Price]]-AD26</f>
        <v>4.092218669927175</v>
      </c>
    </row>
    <row r="27" spans="1:31" s="2" customFormat="1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f>VLOOKUP(Table1[[#This Row],[Item number]],'Full Item list'!B:J,9,0)</f>
        <v>1</v>
      </c>
      <c r="H27" s="5" t="str">
        <f>VLOOKUP(Table1[[#This Row],[Item number]],'Full Item list'!B:O,14,0)</f>
        <v>KG</v>
      </c>
      <c r="I27" s="5"/>
      <c r="J27" s="5" t="s">
        <v>131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f ca="1">VLOOKUP(Table1[[#This Row],[Item number]],'BOMs setting'!A:R,18,0)</f>
        <v>0.27729723588657151</v>
      </c>
      <c r="V27" s="101" t="str">
        <f>VLOOKUP(Table1[[#This Row],[Item number]],'BOMs setting'!A:A,1,0)</f>
        <v>MO075F-1</v>
      </c>
      <c r="X27" s="103" t="s">
        <v>157</v>
      </c>
      <c r="Y27" s="2">
        <f>VLOOKUP(X27,'Products price validation'!A:B,2,0)</f>
        <v>0.11936911548241508</v>
      </c>
      <c r="Z27" s="2">
        <f>Y27*Table1[[#This Row],[Net weight]]</f>
        <v>0.11936911548241508</v>
      </c>
      <c r="AB27" s="267">
        <f ca="1">Table1[[#This Row],[Cost Price]]-Z27</f>
        <v>0.15792812040415644</v>
      </c>
      <c r="AD27" s="2">
        <f>VLOOKUP(Table1[[#This Row],[Item number]],'Product list 121317'!A:U,21,0)</f>
        <v>0.11360848908948451</v>
      </c>
      <c r="AE27" s="2">
        <f ca="1">Table1[[#This Row],[Cost Price]]-AD27</f>
        <v>0.163688746797087</v>
      </c>
    </row>
    <row r="28" spans="1:31" s="2" customFormat="1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f>VLOOKUP(Table1[[#This Row],[Item number]],'Full Item list'!B:J,9,0)</f>
        <v>25</v>
      </c>
      <c r="H28" s="5" t="str">
        <f>VLOOKUP(Table1[[#This Row],[Item number]],'Full Item list'!B:O,14,0)</f>
        <v>PCS</v>
      </c>
      <c r="I28" s="5"/>
      <c r="J28" s="5" t="s">
        <v>131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f ca="1">VLOOKUP(Table1[[#This Row],[Item number]],'BOMs setting'!A:R,18,0)</f>
        <v>14.575557568106854</v>
      </c>
      <c r="V28" s="101" t="str">
        <f>VLOOKUP(Table1[[#This Row],[Item number]],'BOMs setting'!A:A,1,0)</f>
        <v>MO081F</v>
      </c>
      <c r="X28" s="102" t="s">
        <v>158</v>
      </c>
      <c r="Y28" s="2">
        <f>VLOOKUP(X28,'Products price validation'!A:B,2,0)</f>
        <v>9.3666751306851717E-2</v>
      </c>
      <c r="Z28" s="2">
        <f>Y28*Table1[[#This Row],[Net weight]]</f>
        <v>2.341668782671293</v>
      </c>
      <c r="AB28" s="267">
        <f ca="1">Table1[[#This Row],[Cost Price]]-Z28</f>
        <v>12.23388878543556</v>
      </c>
      <c r="AD28" s="2">
        <f>VLOOKUP(Table1[[#This Row],[Item number]],'Product list 121317'!A:U,21,0)</f>
        <v>2.2989015583253289</v>
      </c>
      <c r="AE28" s="2">
        <f ca="1">Table1[[#This Row],[Cost Price]]-AD28</f>
        <v>12.276656009781526</v>
      </c>
    </row>
    <row r="29" spans="1:31" s="2" customFormat="1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f>VLOOKUP(Table1[[#This Row],[Item number]],'Full Item list'!B:J,9,0)</f>
        <v>1</v>
      </c>
      <c r="H29" s="5" t="str">
        <f>VLOOKUP(Table1[[#This Row],[Item number]],'Full Item list'!B:O,14,0)</f>
        <v>KG</v>
      </c>
      <c r="I29" s="5"/>
      <c r="J29" s="5" t="s">
        <v>131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f ca="1">VLOOKUP(Table1[[#This Row],[Item number]],'BOMs setting'!A:R,18,0)</f>
        <v>0.58302230272427413</v>
      </c>
      <c r="V29" s="101" t="str">
        <f>VLOOKUP(Table1[[#This Row],[Item number]],'BOMs setting'!A:A,1,0)</f>
        <v>MO081F-1</v>
      </c>
      <c r="X29" s="103" t="s">
        <v>158</v>
      </c>
      <c r="Y29" s="2">
        <f>VLOOKUP(X29,'Products price validation'!A:B,2,0)</f>
        <v>9.3666751306851717E-2</v>
      </c>
      <c r="Z29" s="2">
        <f>Y29*Table1[[#This Row],[Net weight]]</f>
        <v>9.3666751306851717E-2</v>
      </c>
      <c r="AB29" s="267">
        <f ca="1">Table1[[#This Row],[Cost Price]]-Z29</f>
        <v>0.48935555141742243</v>
      </c>
      <c r="AD29" s="2">
        <f>VLOOKUP(Table1[[#This Row],[Item number]],'Product list 121317'!A:U,21,0)</f>
        <v>9.1956062333013164E-2</v>
      </c>
      <c r="AE29" s="2">
        <f ca="1">Table1[[#This Row],[Cost Price]]-AD29</f>
        <v>0.49106624039126096</v>
      </c>
    </row>
    <row r="30" spans="1:31" s="2" customFormat="1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f>VLOOKUP(Table1[[#This Row],[Item number]],'Full Item list'!B:J,9,0)</f>
        <v>25</v>
      </c>
      <c r="H30" s="5" t="str">
        <f>VLOOKUP(Table1[[#This Row],[Item number]],'Full Item list'!B:O,14,0)</f>
        <v>PCS</v>
      </c>
      <c r="I30" s="5"/>
      <c r="J30" s="5" t="s">
        <v>131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f ca="1">VLOOKUP(Table1[[#This Row],[Item number]],'BOMs setting'!A:R,18,0)</f>
        <v>16.191461240368739</v>
      </c>
      <c r="V30" s="101" t="str">
        <f>VLOOKUP(Table1[[#This Row],[Item number]],'BOMs setting'!A:A,1,0)</f>
        <v>MO082F</v>
      </c>
      <c r="X30" s="102" t="s">
        <v>159</v>
      </c>
      <c r="Y30" s="2">
        <f>VLOOKUP(X30,'Products price validation'!A:B,2,0)</f>
        <v>0.14847073346712203</v>
      </c>
      <c r="Z30" s="2">
        <f>Y30*Table1[[#This Row],[Net weight]]</f>
        <v>3.711768336678051</v>
      </c>
      <c r="AB30" s="267">
        <f ca="1">Table1[[#This Row],[Cost Price]]-Z30</f>
        <v>12.479692903690687</v>
      </c>
      <c r="AD30" s="2">
        <f>VLOOKUP(Table1[[#This Row],[Item number]],'Product list 121317'!A:U,21,0)</f>
        <v>3.9148052305872101</v>
      </c>
      <c r="AE30" s="2">
        <f ca="1">Table1[[#This Row],[Cost Price]]-AD30</f>
        <v>12.276656009781529</v>
      </c>
    </row>
    <row r="31" spans="1:31" s="2" customFormat="1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f>VLOOKUP(Table1[[#This Row],[Item number]],'Full Item list'!B:J,9,0)</f>
        <v>1</v>
      </c>
      <c r="H31" s="5" t="str">
        <f>VLOOKUP(Table1[[#This Row],[Item number]],'Full Item list'!B:O,14,0)</f>
        <v>KG</v>
      </c>
      <c r="I31" s="5"/>
      <c r="J31" s="5" t="s">
        <v>131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f ca="1">VLOOKUP(Table1[[#This Row],[Item number]],'BOMs setting'!A:R,18,0)</f>
        <v>0.6476584496147495</v>
      </c>
      <c r="V31" s="101" t="str">
        <f>VLOOKUP(Table1[[#This Row],[Item number]],'BOMs setting'!A:A,1,0)</f>
        <v>MO082F-1</v>
      </c>
      <c r="X31" s="103" t="s">
        <v>159</v>
      </c>
      <c r="Y31" s="2">
        <f>VLOOKUP(X31,'Products price validation'!A:B,2,0)</f>
        <v>0.14847073346712203</v>
      </c>
      <c r="Z31" s="2">
        <f>Y31*Table1[[#This Row],[Net weight]]</f>
        <v>0.14847073346712203</v>
      </c>
      <c r="AB31" s="267">
        <f ca="1">Table1[[#This Row],[Cost Price]]-Z31</f>
        <v>0.49918771614762747</v>
      </c>
      <c r="AD31" s="2">
        <f>VLOOKUP(Table1[[#This Row],[Item number]],'Product list 121317'!A:U,21,0)</f>
        <v>0.1565922092234884</v>
      </c>
      <c r="AE31" s="2">
        <f ca="1">Table1[[#This Row],[Cost Price]]-AD31</f>
        <v>0.49106624039126112</v>
      </c>
    </row>
    <row r="32" spans="1:31" s="2" customFormat="1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f>VLOOKUP(Table1[[#This Row],[Item number]],'Full Item list'!B:J,9,0)</f>
        <v>25</v>
      </c>
      <c r="H32" s="5" t="str">
        <f>VLOOKUP(Table1[[#This Row],[Item number]],'Full Item list'!B:O,14,0)</f>
        <v>PCS</v>
      </c>
      <c r="I32" s="5"/>
      <c r="J32" s="5" t="s">
        <v>131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f ca="1">VLOOKUP(Table1[[#This Row],[Item number]],'BOMs setting'!A:R,18,0)</f>
        <v>15.867554397931089</v>
      </c>
      <c r="V32" s="101" t="str">
        <f>VLOOKUP(Table1[[#This Row],[Item number]],'BOMs setting'!A:A,1,0)</f>
        <v>MO083F</v>
      </c>
      <c r="X32" s="102" t="s">
        <v>160</v>
      </c>
      <c r="Y32" s="2">
        <f>VLOOKUP(X32,'Products price validation'!A:B,2,0)</f>
        <v>0.14640111648678825</v>
      </c>
      <c r="Z32" s="2">
        <f>Y32*Table1[[#This Row],[Net weight]]</f>
        <v>3.6600279121697064</v>
      </c>
      <c r="AB32" s="267">
        <f ca="1">Table1[[#This Row],[Cost Price]]-Z32</f>
        <v>12.207526485761383</v>
      </c>
      <c r="AD32" s="2">
        <f>VLOOKUP(Table1[[#This Row],[Item number]],'Product list 121317'!A:U,21,0)</f>
        <v>3.590898388149562</v>
      </c>
      <c r="AE32" s="2">
        <f ca="1">Table1[[#This Row],[Cost Price]]-AD32</f>
        <v>12.276656009781528</v>
      </c>
    </row>
    <row r="33" spans="1:31" s="2" customFormat="1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f>VLOOKUP(Table1[[#This Row],[Item number]],'Full Item list'!B:J,9,0)</f>
        <v>1</v>
      </c>
      <c r="H33" s="5" t="str">
        <f>VLOOKUP(Table1[[#This Row],[Item number]],'Full Item list'!B:O,14,0)</f>
        <v>KG</v>
      </c>
      <c r="I33" s="5"/>
      <c r="J33" s="5" t="s">
        <v>131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f ca="1">VLOOKUP(Table1[[#This Row],[Item number]],'BOMs setting'!A:R,18,0)</f>
        <v>0.63470217591724354</v>
      </c>
      <c r="V33" s="101" t="str">
        <f>VLOOKUP(Table1[[#This Row],[Item number]],'BOMs setting'!A:A,1,0)</f>
        <v>MO083F-1</v>
      </c>
      <c r="X33" s="103" t="s">
        <v>160</v>
      </c>
      <c r="Y33" s="2">
        <f>VLOOKUP(X33,'Products price validation'!A:B,2,0)</f>
        <v>0.14640111648678825</v>
      </c>
      <c r="Z33" s="2">
        <f>Y33*Table1[[#This Row],[Net weight]]</f>
        <v>0.14640111648678825</v>
      </c>
      <c r="AB33" s="267">
        <f ca="1">Table1[[#This Row],[Cost Price]]-Z33</f>
        <v>0.48830105943045532</v>
      </c>
      <c r="AD33" s="2">
        <f>VLOOKUP(Table1[[#This Row],[Item number]],'Product list 121317'!A:U,21,0)</f>
        <v>0.14363593552598247</v>
      </c>
      <c r="AE33" s="2">
        <f ca="1">Table1[[#This Row],[Cost Price]]-AD33</f>
        <v>0.49106624039126107</v>
      </c>
    </row>
    <row r="34" spans="1:31" s="2" customFormat="1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f>VLOOKUP(Table1[[#This Row],[Item number]],'Full Item list'!B:J,9,0)</f>
        <v>25</v>
      </c>
      <c r="H34" s="5" t="str">
        <f>VLOOKUP(Table1[[#This Row],[Item number]],'Full Item list'!B:O,14,0)</f>
        <v>PCS</v>
      </c>
      <c r="I34" s="5"/>
      <c r="J34" s="5" t="s">
        <v>131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f ca="1">VLOOKUP(Table1[[#This Row],[Item number]],'BOMs setting'!A:R,18,0)</f>
        <v>17.451003698073166</v>
      </c>
      <c r="V34" s="101" t="str">
        <f>VLOOKUP(Table1[[#This Row],[Item number]],'BOMs setting'!A:A,1,0)</f>
        <v>MO084F</v>
      </c>
      <c r="X34" s="102" t="s">
        <v>161</v>
      </c>
      <c r="Y34" s="2">
        <f>VLOOKUP(X34,'Products price validation'!A:B,2,0)</f>
        <v>0.20967623204218949</v>
      </c>
      <c r="Z34" s="2">
        <f>Y34*Table1[[#This Row],[Net weight]]</f>
        <v>5.2419058010547372</v>
      </c>
      <c r="AB34" s="267">
        <f ca="1">Table1[[#This Row],[Cost Price]]-Z34</f>
        <v>12.209097897018427</v>
      </c>
      <c r="AD34" s="2">
        <f>VLOOKUP(Table1[[#This Row],[Item number]],'Product list 121317'!A:U,21,0)</f>
        <v>5.1743476882916424</v>
      </c>
      <c r="AE34" s="2">
        <f ca="1">Table1[[#This Row],[Cost Price]]-AD34</f>
        <v>12.276656009781522</v>
      </c>
    </row>
    <row r="35" spans="1:31" s="2" customFormat="1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f>VLOOKUP(Table1[[#This Row],[Item number]],'Full Item list'!B:J,9,0)</f>
        <v>1</v>
      </c>
      <c r="H35" s="5" t="str">
        <f>VLOOKUP(Table1[[#This Row],[Item number]],'Full Item list'!B:O,14,0)</f>
        <v>KG</v>
      </c>
      <c r="I35" s="5"/>
      <c r="J35" s="5" t="s">
        <v>131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f ca="1">VLOOKUP(Table1[[#This Row],[Item number]],'BOMs setting'!A:R,18,0)</f>
        <v>0.69804014792292668</v>
      </c>
      <c r="V35" s="101" t="str">
        <f>VLOOKUP(Table1[[#This Row],[Item number]],'BOMs setting'!A:A,1,0)</f>
        <v>MO084F-1</v>
      </c>
      <c r="X35" s="103" t="s">
        <v>161</v>
      </c>
      <c r="Y35" s="2">
        <f>VLOOKUP(X35,'Products price validation'!A:B,2,0)</f>
        <v>0.20967623204218949</v>
      </c>
      <c r="Z35" s="2">
        <f>Y35*Table1[[#This Row],[Net weight]]</f>
        <v>0.20967623204218949</v>
      </c>
      <c r="AB35" s="267">
        <f ca="1">Table1[[#This Row],[Cost Price]]-Z35</f>
        <v>0.48836391588073719</v>
      </c>
      <c r="AD35" s="2">
        <f>VLOOKUP(Table1[[#This Row],[Item number]],'Product list 121317'!A:U,21,0)</f>
        <v>0.2069739075316657</v>
      </c>
      <c r="AE35" s="2">
        <f ca="1">Table1[[#This Row],[Cost Price]]-AD35</f>
        <v>0.49106624039126101</v>
      </c>
    </row>
    <row r="36" spans="1:31" s="2" customFormat="1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f>VLOOKUP(Table1[[#This Row],[Item number]],'Full Item list'!B:J,9,0)</f>
        <v>25</v>
      </c>
      <c r="H36" s="5" t="str">
        <f>VLOOKUP(Table1[[#This Row],[Item number]],'Full Item list'!B:O,14,0)</f>
        <v>PCS</v>
      </c>
      <c r="I36" s="5"/>
      <c r="J36" s="5" t="s">
        <v>131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f ca="1">VLOOKUP(Table1[[#This Row],[Item number]],'BOMs setting'!A:R,18,0)</f>
        <v>25.150553363430284</v>
      </c>
      <c r="V36" s="101" t="str">
        <f>VLOOKUP(Table1[[#This Row],[Item number]],'BOMs setting'!A:A,1,0)</f>
        <v>MO100F</v>
      </c>
      <c r="X36" s="102" t="s">
        <v>162</v>
      </c>
      <c r="Y36" s="2">
        <f>VLOOKUP(X36,'Products price validation'!A:B,2,0)</f>
        <v>0.57634249051437958</v>
      </c>
      <c r="Z36" s="2">
        <f>Y36*Table1[[#This Row],[Net weight]]</f>
        <v>14.408562262859489</v>
      </c>
      <c r="AB36" s="267">
        <f ca="1">Table1[[#This Row],[Cost Price]]-Z36</f>
        <v>10.741991100570795</v>
      </c>
      <c r="AD36" s="2">
        <f>VLOOKUP(Table1[[#This Row],[Item number]],'Product list 121317'!A:U,21,0)</f>
        <v>12.873897353648758</v>
      </c>
      <c r="AE36" s="2">
        <f ca="1">Table1[[#This Row],[Cost Price]]-AD36</f>
        <v>12.276656009781526</v>
      </c>
    </row>
    <row r="37" spans="1:31" s="2" customFormat="1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f>VLOOKUP(Table1[[#This Row],[Item number]],'Full Item list'!B:J,9,0)</f>
        <v>1</v>
      </c>
      <c r="H37" s="5" t="str">
        <f>VLOOKUP(Table1[[#This Row],[Item number]],'Full Item list'!B:O,14,0)</f>
        <v>KG</v>
      </c>
      <c r="I37" s="5"/>
      <c r="J37" s="5" t="s">
        <v>131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f ca="1">VLOOKUP(Table1[[#This Row],[Item number]],'BOMs setting'!A:R,18,0)</f>
        <v>1.0060221345372113</v>
      </c>
      <c r="V37" s="101" t="str">
        <f>VLOOKUP(Table1[[#This Row],[Item number]],'BOMs setting'!A:A,1,0)</f>
        <v>MO100F-1</v>
      </c>
      <c r="X37" s="103" t="s">
        <v>162</v>
      </c>
      <c r="Y37" s="2">
        <f>VLOOKUP(X37,'Products price validation'!A:B,2,0)</f>
        <v>0.57634249051437958</v>
      </c>
      <c r="Z37" s="2">
        <f>Y37*Table1[[#This Row],[Net weight]]</f>
        <v>0.57634249051437958</v>
      </c>
      <c r="AB37" s="267">
        <f ca="1">Table1[[#This Row],[Cost Price]]-Z37</f>
        <v>0.42967964402283176</v>
      </c>
      <c r="AD37" s="2">
        <f>VLOOKUP(Table1[[#This Row],[Item number]],'Product list 121317'!A:U,21,0)</f>
        <v>0.51495589414595033</v>
      </c>
      <c r="AE37" s="2">
        <f ca="1">Table1[[#This Row],[Cost Price]]-AD37</f>
        <v>0.49106624039126101</v>
      </c>
    </row>
    <row r="38" spans="1:31" s="2" customFormat="1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f>VLOOKUP(Table1[[#This Row],[Item number]],'Full Item list'!B:J,9,0)</f>
        <v>20</v>
      </c>
      <c r="H38" s="5" t="str">
        <f>VLOOKUP(Table1[[#This Row],[Item number]],'Full Item list'!B:O,14,0)</f>
        <v>PCS</v>
      </c>
      <c r="I38" s="5"/>
      <c r="J38" s="5" t="s">
        <v>131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f ca="1">VLOOKUP(Table1[[#This Row],[Item number]],'BOMs setting'!A:R,18,0)</f>
        <v>5.6921634725814334</v>
      </c>
      <c r="V38" s="101" t="str">
        <f>VLOOKUP(Table1[[#This Row],[Item number]],'BOMs setting'!A:A,1,0)</f>
        <v>MO110F</v>
      </c>
      <c r="X38" s="102" t="s">
        <v>163</v>
      </c>
      <c r="Y38" s="2">
        <f>VLOOKUP(X38,'Products price validation'!A:B,2,0)</f>
        <v>0.11049139613781302</v>
      </c>
      <c r="Z38" s="2">
        <f>Y38*Table1[[#This Row],[Net weight]]</f>
        <v>2.2098279227562605</v>
      </c>
      <c r="AB38" s="267">
        <f ca="1">Table1[[#This Row],[Cost Price]]-Z38</f>
        <v>3.4823355498251729</v>
      </c>
      <c r="AD38" s="2">
        <f>VLOOKUP(Table1[[#This Row],[Item number]],'Product list 121317'!A:U,21,0)</f>
        <v>2.6229994701360515</v>
      </c>
      <c r="AE38" s="2">
        <f ca="1">Table1[[#This Row],[Cost Price]]-AD38</f>
        <v>3.0691640024453819</v>
      </c>
    </row>
    <row r="39" spans="1:31" s="2" customFormat="1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f>VLOOKUP(Table1[[#This Row],[Item number]],'Full Item list'!B:J,9,0)</f>
        <v>1</v>
      </c>
      <c r="H39" s="5" t="str">
        <f>VLOOKUP(Table1[[#This Row],[Item number]],'Full Item list'!B:O,14,0)</f>
        <v>KG</v>
      </c>
      <c r="I39" s="5"/>
      <c r="J39" s="5" t="s">
        <v>131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f ca="1">VLOOKUP(Table1[[#This Row],[Item number]],'BOMs setting'!A:R,18,0)</f>
        <v>0.22768653890325732</v>
      </c>
      <c r="V39" s="101" t="str">
        <f>VLOOKUP(Table1[[#This Row],[Item number]],'BOMs setting'!A:A,1,0)</f>
        <v>MO110F-1</v>
      </c>
      <c r="X39" s="103" t="s">
        <v>163</v>
      </c>
      <c r="Y39" s="2">
        <f>VLOOKUP(X39,'Products price validation'!A:B,2,0)</f>
        <v>0.11049139613781302</v>
      </c>
      <c r="Z39" s="2">
        <f>Y39*Table1[[#This Row],[Net weight]]</f>
        <v>0.11049139613781302</v>
      </c>
      <c r="AB39" s="267">
        <f ca="1">Table1[[#This Row],[Cost Price]]-Z39</f>
        <v>0.11719514276544431</v>
      </c>
      <c r="AD39" s="2">
        <f>VLOOKUP(Table1[[#This Row],[Item number]],'Product list 121317'!A:U,21,0)</f>
        <v>0.10491997880544206</v>
      </c>
      <c r="AE39" s="2">
        <f ca="1">Table1[[#This Row],[Cost Price]]-AD39</f>
        <v>0.12276656009781527</v>
      </c>
    </row>
    <row r="40" spans="1:31" s="2" customFormat="1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f>VLOOKUP(Table1[[#This Row],[Item number]],'Full Item list'!B:J,9,0)</f>
        <v>25</v>
      </c>
      <c r="H40" s="5" t="str">
        <f>VLOOKUP(Table1[[#This Row],[Item number]],'Full Item list'!B:O,14,0)</f>
        <v>PCS</v>
      </c>
      <c r="I40" s="5"/>
      <c r="J40" s="5" t="s">
        <v>131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f ca="1">VLOOKUP(Table1[[#This Row],[Item number]],'BOMs setting'!A:R,18,0)</f>
        <v>41.888328004890766</v>
      </c>
      <c r="V40" s="101" t="str">
        <f>VLOOKUP(Table1[[#This Row],[Item number]],'BOMs setting'!A:A,1,0)</f>
        <v>PI010C</v>
      </c>
      <c r="X40" s="102" t="s">
        <v>196</v>
      </c>
      <c r="Y40" s="2">
        <f>VLOOKUP(X40,'Products price validation'!A:B,2,0)</f>
        <v>1.43</v>
      </c>
      <c r="Z40" s="2">
        <f>Y40*Table1[[#This Row],[Net weight]]</f>
        <v>35.75</v>
      </c>
      <c r="AB40" s="267">
        <f ca="1">Table1[[#This Row],[Cost Price]]-Z40</f>
        <v>6.1383280048907665</v>
      </c>
      <c r="AD40" s="2">
        <f>VLOOKUP(Table1[[#This Row],[Item number]],'Product list 121317'!A:U,21,0)</f>
        <v>35.75</v>
      </c>
      <c r="AE40" s="2">
        <f ca="1">Table1[[#This Row],[Cost Price]]-AD40</f>
        <v>6.1383280048907665</v>
      </c>
    </row>
    <row r="41" spans="1:31" s="2" customFormat="1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f>VLOOKUP(Table1[[#This Row],[Item number]],'Full Item list'!B:J,9,0)</f>
        <v>2</v>
      </c>
      <c r="H41" s="5" t="str">
        <f>VLOOKUP(Table1[[#This Row],[Item number]],'Full Item list'!B:O,14,0)</f>
        <v>PCS</v>
      </c>
      <c r="I41" s="5"/>
      <c r="J41" s="5" t="s">
        <v>131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f ca="1">VLOOKUP(Table1[[#This Row],[Item number]],'BOMs setting'!A:R,18,0)</f>
        <v>100.4782280782522</v>
      </c>
      <c r="V41" s="101" t="str">
        <f>VLOOKUP(Table1[[#This Row],[Item number]],'BOMs setting'!A:A,1,0)</f>
        <v>RE010F</v>
      </c>
      <c r="X41" s="103" t="s">
        <v>205</v>
      </c>
      <c r="Y41" s="2">
        <f>VLOOKUP(X41,'Products price validation'!A:B,2,0)</f>
        <v>1.1319240379810096</v>
      </c>
      <c r="Z41" s="2">
        <f>Y41*Table1[[#This Row],[Net weight]]</f>
        <v>2.2638480759620192</v>
      </c>
      <c r="AB41" s="267">
        <f ca="1">Table1[[#This Row],[Cost Price]]-Z41</f>
        <v>98.214380002290184</v>
      </c>
      <c r="AD41" s="2">
        <f>VLOOKUP(Table1[[#This Row],[Item number]],'Product list 121317'!A:U,21,0)</f>
        <v>2.26498</v>
      </c>
      <c r="AE41" s="2">
        <f ca="1">Table1[[#This Row],[Cost Price]]-AD41</f>
        <v>98.213248078252207</v>
      </c>
    </row>
    <row r="42" spans="1:31" s="2" customFormat="1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f>VLOOKUP(Table1[[#This Row],[Item number]],'Full Item list'!B:J,9,0)</f>
        <v>7</v>
      </c>
      <c r="H42" s="5" t="str">
        <f>VLOOKUP(Table1[[#This Row],[Item number]],'Full Item list'!B:O,14,0)</f>
        <v>PCS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f ca="1">VLOOKUP(Table1[[#This Row],[Item number]],'BOMs setting'!A:R,18,0)</f>
        <v>89.767841664410568</v>
      </c>
      <c r="V42" s="101" t="str">
        <f>VLOOKUP(Table1[[#This Row],[Item number]],'BOMs setting'!A:A,1,0)</f>
        <v>RE020F</v>
      </c>
      <c r="X42" s="103" t="s">
        <v>205</v>
      </c>
      <c r="Y42" s="2">
        <f>VLOOKUP(X42,'Products price validation'!A:B,2,0)</f>
        <v>1.1319240379810096</v>
      </c>
      <c r="Z42" s="2">
        <f>Y42*Table1[[#This Row],[Net weight]]</f>
        <v>7.9234682658670668</v>
      </c>
      <c r="AB42" s="267">
        <f ca="1">Table1[[#This Row],[Cost Price]]-Z42</f>
        <v>81.844373398543496</v>
      </c>
      <c r="AD42" s="2">
        <f>VLOOKUP(Table1[[#This Row],[Item number]],'Product list 121317'!A:U,21,0)</f>
        <v>7.9234682658670668</v>
      </c>
      <c r="AE42" s="2">
        <f ca="1">Table1[[#This Row],[Cost Price]]-AD42</f>
        <v>81.844373398543496</v>
      </c>
    </row>
    <row r="43" spans="1:31" s="2" customFormat="1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f>VLOOKUP(Table1[[#This Row],[Item number]],'Full Item list'!B:J,9,0)</f>
        <v>14</v>
      </c>
      <c r="H43" s="5" t="str">
        <f>VLOOKUP(Table1[[#This Row],[Item number]],'Full Item list'!B:O,14,0)</f>
        <v>PCS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f ca="1">VLOOKUP(Table1[[#This Row],[Item number]],'BOMs setting'!A:R,18,0)</f>
        <v>85.999256587628565</v>
      </c>
      <c r="V43" s="101" t="str">
        <f>VLOOKUP(Table1[[#This Row],[Item number]],'BOMs setting'!A:A,1,0)</f>
        <v>RE030F</v>
      </c>
      <c r="X43" s="103" t="s">
        <v>205</v>
      </c>
      <c r="Y43" s="2">
        <f>VLOOKUP(X43,'Products price validation'!A:B,2,0)</f>
        <v>1.1319240379810096</v>
      </c>
      <c r="Z43" s="2">
        <f>Y43*Table1[[#This Row],[Net weight]]</f>
        <v>15.846936531734134</v>
      </c>
      <c r="AB43" s="267">
        <f ca="1">Table1[[#This Row],[Cost Price]]-Z43</f>
        <v>70.152320055894435</v>
      </c>
      <c r="AD43" s="2">
        <f>VLOOKUP(Table1[[#This Row],[Item number]],'Product list 121317'!A:U,21,0)</f>
        <v>15.846936531734134</v>
      </c>
      <c r="AE43" s="2">
        <f ca="1">Table1[[#This Row],[Cost Price]]-AD43</f>
        <v>70.152320055894435</v>
      </c>
    </row>
    <row r="44" spans="1:31" s="2" customFormat="1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f>VLOOKUP(Table1[[#This Row],[Item number]],'Full Item list'!B:J,9,0)</f>
        <v>2</v>
      </c>
      <c r="H44" s="5" t="str">
        <f>VLOOKUP(Table1[[#This Row],[Item number]],'Full Item list'!B:O,14,0)</f>
        <v>PCS</v>
      </c>
      <c r="I44" s="5"/>
      <c r="J44" s="5" t="s">
        <v>228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f ca="1">VLOOKUP(Table1[[#This Row],[Item number]],'BOMs setting'!A:R,18,0)</f>
        <v>34.182110521155842</v>
      </c>
      <c r="V44" s="101" t="str">
        <f>VLOOKUP(Table1[[#This Row],[Item number]],'BOMs setting'!A:A,1,0)</f>
        <v>RE031F</v>
      </c>
      <c r="X44" s="102" t="s">
        <v>208</v>
      </c>
      <c r="Y44" s="2">
        <f>VLOOKUP(X44,'Products price validation'!A:B,2,0)</f>
        <v>3.1254630454140697</v>
      </c>
      <c r="Z44" s="2">
        <f>Y44*Table1[[#This Row],[Net weight]]</f>
        <v>6.2509260908281394</v>
      </c>
      <c r="AB44" s="267">
        <f ca="1">Table1[[#This Row],[Cost Price]]-Z44</f>
        <v>27.931184430327704</v>
      </c>
      <c r="AD44" s="2">
        <f>VLOOKUP(Table1[[#This Row],[Item number]],'Product list 121317'!A:U,21,0)</f>
        <v>5.2958610863757798</v>
      </c>
      <c r="AE44" s="2">
        <f ca="1">Table1[[#This Row],[Cost Price]]-AD44</f>
        <v>28.886249434780062</v>
      </c>
    </row>
    <row r="45" spans="1:31" s="2" customFormat="1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f>VLOOKUP(Table1[[#This Row],[Item number]],'Full Item list'!B:J,9,0)</f>
        <v>5</v>
      </c>
      <c r="H45" s="5" t="str">
        <f>VLOOKUP(Table1[[#This Row],[Item number]],'Full Item list'!B:O,14,0)</f>
        <v>PCS</v>
      </c>
      <c r="I45" s="5"/>
      <c r="J45" s="5" t="s">
        <v>236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f ca="1">VLOOKUP(Table1[[#This Row],[Item number]],'BOMs setting'!A:R,18,0)</f>
        <v>74.622932764847079</v>
      </c>
      <c r="V45" s="101" t="str">
        <f>VLOOKUP(Table1[[#This Row],[Item number]],'BOMs setting'!A:A,1,0)</f>
        <v>RE040F</v>
      </c>
      <c r="X45" s="102" t="s">
        <v>208</v>
      </c>
      <c r="Y45" s="2">
        <f>VLOOKUP(X45,'Products price validation'!A:B,2,0)</f>
        <v>3.1254630454140697</v>
      </c>
      <c r="Z45" s="2">
        <f>Y45*Table1[[#This Row],[Net weight]]</f>
        <v>15.627315227070348</v>
      </c>
      <c r="AB45" s="267">
        <f ca="1">Table1[[#This Row],[Cost Price]]-Z45</f>
        <v>58.995617537776731</v>
      </c>
      <c r="AD45" s="2">
        <f>VLOOKUP(Table1[[#This Row],[Item number]],'Product list 121317'!A:U,21,0)</f>
        <v>13.239652715939449</v>
      </c>
      <c r="AE45" s="2">
        <f ca="1">Table1[[#This Row],[Cost Price]]-AD45</f>
        <v>61.383280048907629</v>
      </c>
    </row>
    <row r="46" spans="1:31" s="2" customFormat="1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f>VLOOKUP(Table1[[#This Row],[Item number]],'Full Item list'!B:J,9,0)</f>
        <v>2</v>
      </c>
      <c r="H46" s="5" t="str">
        <f>VLOOKUP(Table1[[#This Row],[Item number]],'Full Item list'!B:O,14,0)</f>
        <v>PCS</v>
      </c>
      <c r="I46" s="5"/>
      <c r="J46" s="5" t="s">
        <v>236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f ca="1">VLOOKUP(Table1[[#This Row],[Item number]],'BOMs setting'!A:R,18,0)</f>
        <v>27.36132480782522</v>
      </c>
      <c r="V46" s="101" t="str">
        <f>VLOOKUP(Table1[[#This Row],[Item number]],'BOMs setting'!A:A,1,0)</f>
        <v>RE050C</v>
      </c>
      <c r="X46" s="102" t="s">
        <v>210</v>
      </c>
      <c r="Y46" s="2">
        <f>VLOOKUP(X46,'Products price validation'!A:B,2,0)</f>
        <v>8.18</v>
      </c>
      <c r="Z46" s="2">
        <f>Y46*Table1[[#This Row],[Net weight]]</f>
        <v>16.36</v>
      </c>
      <c r="AB46" s="267">
        <f ca="1">Table1[[#This Row],[Cost Price]]-Z46</f>
        <v>11.00132480782522</v>
      </c>
      <c r="AD46" s="2">
        <f>VLOOKUP(Table1[[#This Row],[Item number]],'Product list 121317'!A:U,21,0)</f>
        <v>17.54</v>
      </c>
      <c r="AE46" s="2">
        <f ca="1">Table1[[#This Row],[Cost Price]]-AD46</f>
        <v>9.8213248078252207</v>
      </c>
    </row>
    <row r="47" spans="1:31" s="2" customFormat="1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f>VLOOKUP(Table1[[#This Row],[Item number]],'Full Item list'!B:J,9,0)</f>
        <v>5</v>
      </c>
      <c r="H47" s="5" t="str">
        <f>VLOOKUP(Table1[[#This Row],[Item number]],'Full Item list'!B:O,14,0)</f>
        <v>PCS</v>
      </c>
      <c r="I47" s="5"/>
      <c r="J47" s="5" t="s">
        <v>236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f ca="1">VLOOKUP(Table1[[#This Row],[Item number]],'BOMs setting'!A:R,18,0)</f>
        <v>50.721324807825219</v>
      </c>
      <c r="V47" s="101" t="str">
        <f>VLOOKUP(Table1[[#This Row],[Item number]],'BOMs setting'!A:A,1,0)</f>
        <v>RE060C</v>
      </c>
      <c r="X47" s="102" t="s">
        <v>210</v>
      </c>
      <c r="Y47" s="2">
        <f>VLOOKUP(X47,'Products price validation'!A:B,2,0)</f>
        <v>8.18</v>
      </c>
      <c r="Z47" s="2">
        <f>Y47*Table1[[#This Row],[Net weight]]</f>
        <v>40.9</v>
      </c>
      <c r="AB47" s="267">
        <f ca="1">Table1[[#This Row],[Cost Price]]-Z47</f>
        <v>9.8213248078252207</v>
      </c>
      <c r="AD47" s="2">
        <f>VLOOKUP(Table1[[#This Row],[Item number]],'Product list 121317'!A:U,21,0)</f>
        <v>40.9</v>
      </c>
      <c r="AE47" s="2">
        <f ca="1">Table1[[#This Row],[Cost Price]]-AD47</f>
        <v>9.8213248078252207</v>
      </c>
    </row>
    <row r="48" spans="1:31" s="2" customFormat="1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f>VLOOKUP(Table1[[#This Row],[Item number]],'Full Item list'!B:J,9,0)</f>
        <v>1</v>
      </c>
      <c r="H48" s="5" t="str">
        <f>VLOOKUP(Table1[[#This Row],[Item number]],'Full Item list'!B:O,14,0)</f>
        <v>PCS</v>
      </c>
      <c r="I48" s="5"/>
      <c r="J48" s="5" t="s">
        <v>236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f ca="1">VLOOKUP(Table1[[#This Row],[Item number]],'BOMs setting'!A:R,18,0)</f>
        <v>18.36132480782522</v>
      </c>
      <c r="V48" s="101" t="str">
        <f>VLOOKUP(Table1[[#This Row],[Item number]],'BOMs setting'!A:A,1,0)</f>
        <v>RE061C</v>
      </c>
      <c r="X48" s="102" t="s">
        <v>210</v>
      </c>
      <c r="Y48" s="2">
        <f>VLOOKUP(X48,'Products price validation'!A:B,2,0)</f>
        <v>8.18</v>
      </c>
      <c r="Z48" s="2">
        <f>Y48*Table1[[#This Row],[Net weight]]</f>
        <v>8.18</v>
      </c>
      <c r="AB48" s="267">
        <f ca="1">Table1[[#This Row],[Cost Price]]-Z48</f>
        <v>10.18132480782522</v>
      </c>
      <c r="AD48" s="2">
        <f>VLOOKUP(Table1[[#This Row],[Item number]],'Product list 121317'!A:U,21,0)</f>
        <v>8.5399999999999991</v>
      </c>
      <c r="AE48" s="2">
        <f ca="1">Table1[[#This Row],[Cost Price]]-AD48</f>
        <v>9.8213248078252207</v>
      </c>
    </row>
    <row r="49" spans="1:31" s="2" customFormat="1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f>VLOOKUP(Table1[[#This Row],[Item number]],'Full Item list'!B:J,9,0)</f>
        <v>2</v>
      </c>
      <c r="H49" s="5" t="str">
        <f>VLOOKUP(Table1[[#This Row],[Item number]],'Full Item list'!B:O,14,0)</f>
        <v>PCS</v>
      </c>
      <c r="I49" s="5"/>
      <c r="J49" s="5" t="s">
        <v>236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f ca="1">VLOOKUP(Table1[[#This Row],[Item number]],'BOMs setting'!A:R,18,0)</f>
        <v>29.622306103967873</v>
      </c>
      <c r="V49" s="101" t="str">
        <f>VLOOKUP(Table1[[#This Row],[Item number]],'BOMs setting'!A:A,1,0)</f>
        <v>RE070F</v>
      </c>
      <c r="X49" s="102" t="s">
        <v>214</v>
      </c>
      <c r="Y49" s="2">
        <f>VLOOKUP(X49,'Products price validation'!A:B,2,0)</f>
        <v>4.1358000000000006</v>
      </c>
      <c r="Z49" s="2">
        <f>Y49*Table1[[#This Row],[Net weight]]</f>
        <v>8.2716000000000012</v>
      </c>
      <c r="AB49" s="267">
        <f ca="1">Table1[[#This Row],[Cost Price]]-Z49</f>
        <v>21.350706103967873</v>
      </c>
      <c r="AD49" s="2">
        <f>VLOOKUP(Table1[[#This Row],[Item number]],'Product list 121317'!A:U,21,0)</f>
        <v>8.2716000000000012</v>
      </c>
      <c r="AE49" s="2">
        <f ca="1">Table1[[#This Row],[Cost Price]]-AD49</f>
        <v>21.350706103967873</v>
      </c>
    </row>
    <row r="50" spans="1:31">
      <c r="A50" s="3" t="s">
        <v>214</v>
      </c>
      <c r="B50" s="3" t="s">
        <v>561</v>
      </c>
      <c r="C50" s="132"/>
      <c r="D50" s="132"/>
      <c r="E50" s="132"/>
      <c r="F50" s="132"/>
      <c r="G50" s="5">
        <f>VLOOKUP(Table1[[#This Row],[Item number]],'Full Item list'!B:J,9,0)</f>
        <v>5</v>
      </c>
      <c r="H50" s="5" t="str">
        <f>VLOOKUP(Table1[[#This Row],[Item number]],'Full Item list'!B:O,14,0)</f>
        <v>PCS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f ca="1">VLOOKUP(Table1[[#This Row],[Item number]],'BOMs setting'!A:R,18,0)</f>
        <v>61.60118669927175</v>
      </c>
      <c r="V50" s="101" t="str">
        <f>VLOOKUP(Table1[[#This Row],[Item number]],'BOMs setting'!A:A,1,0)</f>
        <v>RE080F</v>
      </c>
      <c r="X50" s="102" t="s">
        <v>214</v>
      </c>
      <c r="Y50" s="2">
        <f>VLOOKUP(X50,'Products price validation'!A:B,2,0)</f>
        <v>4.1358000000000006</v>
      </c>
      <c r="Z50" s="2">
        <f>Y50*Table1[[#This Row],[Net weight]]</f>
        <v>20.679000000000002</v>
      </c>
      <c r="AB50" s="267">
        <f ca="1">Table1[[#This Row],[Cost Price]]-Z50</f>
        <v>40.922186699271748</v>
      </c>
      <c r="AD50" s="2">
        <f>VLOOKUP(Table1[[#This Row],[Item number]],'Product list 121317'!A:U,21,0)</f>
        <v>20.679000000000002</v>
      </c>
      <c r="AE50" s="2">
        <f ca="1">Table1[[#This Row],[Cost Price]]-AD50</f>
        <v>40.922186699271748</v>
      </c>
    </row>
    <row r="51" spans="1:31">
      <c r="A51" s="3" t="s">
        <v>215</v>
      </c>
      <c r="B51" s="3" t="s">
        <v>562</v>
      </c>
      <c r="C51" s="132"/>
      <c r="D51" s="132"/>
      <c r="E51" s="132"/>
      <c r="F51" s="132"/>
      <c r="G51" s="5">
        <f>VLOOKUP(Table1[[#This Row],[Item number]],'Full Item list'!B:J,9,0)</f>
        <v>10</v>
      </c>
      <c r="H51" s="5" t="str">
        <f>VLOOKUP(Table1[[#This Row],[Item number]],'Full Item list'!B:O,14,0)</f>
        <v>PCS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f ca="1">VLOOKUP(Table1[[#This Row],[Item number]],'BOMs setting'!A:R,18,0)</f>
        <v>106.8334987188348</v>
      </c>
      <c r="V51" s="101" t="str">
        <f>VLOOKUP(Table1[[#This Row],[Item number]],'BOMs setting'!A:A,1,0)</f>
        <v>RE100F</v>
      </c>
      <c r="X51" s="102" t="s">
        <v>214</v>
      </c>
      <c r="Y51" s="2">
        <f>VLOOKUP(X51,'Products price validation'!A:B,2,0)</f>
        <v>4.1358000000000006</v>
      </c>
      <c r="Z51" s="2">
        <f>Y51*Table1[[#This Row],[Net weight]]</f>
        <v>41.358000000000004</v>
      </c>
      <c r="AB51" s="267">
        <f ca="1">Table1[[#This Row],[Cost Price]]-Z51</f>
        <v>65.4754987188348</v>
      </c>
      <c r="AD51" s="2">
        <f>VLOOKUP(Table1[[#This Row],[Item number]],'Product list 121317'!A:U,21,0)</f>
        <v>41.358000000000004</v>
      </c>
      <c r="AE51" s="2">
        <f ca="1">Table1[[#This Row],[Cost Price]]-AD51</f>
        <v>65.4754987188348</v>
      </c>
    </row>
    <row r="52" spans="1:31">
      <c r="A52" s="3" t="s">
        <v>216</v>
      </c>
      <c r="B52" s="3" t="s">
        <v>563</v>
      </c>
      <c r="C52" s="132"/>
      <c r="D52" s="132"/>
      <c r="E52" s="132"/>
      <c r="F52" s="132"/>
      <c r="G52" s="5">
        <f>VLOOKUP(Table1[[#This Row],[Item number]],'Full Item list'!B:J,9,0)</f>
        <v>2</v>
      </c>
      <c r="H52" s="5" t="str">
        <f>VLOOKUP(Table1[[#This Row],[Item number]],'Full Item list'!B:O,14,0)</f>
        <v>PCS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f ca="1">VLOOKUP(Table1[[#This Row],[Item number]],'BOMs setting'!A:R,18,0)</f>
        <v>34.182875180730619</v>
      </c>
      <c r="V52" s="101" t="str">
        <f>VLOOKUP(Table1[[#This Row],[Item number]],'BOMs setting'!A:A,1,0)</f>
        <v>RE230F</v>
      </c>
      <c r="X52" s="102" t="s">
        <v>216</v>
      </c>
      <c r="Y52" s="2">
        <f>VLOOKUP(X52,'Products price validation'!A:B,2,0)</f>
        <v>2.6477450980392159</v>
      </c>
      <c r="Z52" s="2">
        <f>Y52*Table1[[#This Row],[Net weight]]</f>
        <v>5.2954901960784317</v>
      </c>
      <c r="AB52" s="267">
        <f ca="1">Table1[[#This Row],[Cost Price]]-Z52</f>
        <v>28.887384984652186</v>
      </c>
      <c r="AD52" s="2">
        <f>VLOOKUP(Table1[[#This Row],[Item number]],'Product list 121317'!A:U,21,0)</f>
        <v>5.2966257459505535</v>
      </c>
      <c r="AE52" s="2">
        <f ca="1">Table1[[#This Row],[Cost Price]]-AD52</f>
        <v>28.886249434780066</v>
      </c>
    </row>
    <row r="53" spans="1:31">
      <c r="A53" s="3" t="s">
        <v>217</v>
      </c>
      <c r="B53" s="3" t="s">
        <v>564</v>
      </c>
      <c r="C53" s="132"/>
      <c r="D53" s="132"/>
      <c r="E53" s="132"/>
      <c r="F53" s="132"/>
      <c r="G53" s="5">
        <f>VLOOKUP(Table1[[#This Row],[Item number]],'Full Item list'!B:J,9,0)</f>
        <v>5</v>
      </c>
      <c r="H53" s="5" t="str">
        <f>VLOOKUP(Table1[[#This Row],[Item number]],'Full Item list'!B:O,14,0)</f>
        <v>PCS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f ca="1">VLOOKUP(Table1[[#This Row],[Item number]],'BOMs setting'!A:R,18,0)</f>
        <v>74.624844413784018</v>
      </c>
      <c r="V53" s="101" t="str">
        <f>VLOOKUP(Table1[[#This Row],[Item number]],'BOMs setting'!A:A,1,0)</f>
        <v>RE231F</v>
      </c>
      <c r="X53" s="102" t="s">
        <v>216</v>
      </c>
      <c r="Y53" s="2">
        <f>VLOOKUP(X53,'Products price validation'!A:B,2,0)</f>
        <v>2.6477450980392159</v>
      </c>
      <c r="Z53" s="2">
        <f>Y53*Table1[[#This Row],[Net weight]]</f>
        <v>13.23872549019608</v>
      </c>
      <c r="AB53" s="267">
        <f ca="1">Table1[[#This Row],[Cost Price]]-Z53</f>
        <v>61.386118923587937</v>
      </c>
      <c r="AD53" s="2">
        <f>VLOOKUP(Table1[[#This Row],[Item number]],'Product list 121317'!A:U,21,0)</f>
        <v>13.241564364876384</v>
      </c>
      <c r="AE53" s="2">
        <f ca="1">Table1[[#This Row],[Cost Price]]-AD53</f>
        <v>61.383280048907636</v>
      </c>
    </row>
    <row r="54" spans="1:31">
      <c r="A54" s="3" t="s">
        <v>218</v>
      </c>
      <c r="B54" s="3" t="s">
        <v>565</v>
      </c>
      <c r="C54" s="132"/>
      <c r="D54" s="132"/>
      <c r="E54" s="132"/>
      <c r="F54" s="132"/>
      <c r="G54" s="5">
        <f>VLOOKUP(Table1[[#This Row],[Item number]],'Full Item list'!B:J,9,0)</f>
        <v>10</v>
      </c>
      <c r="H54" s="5" t="str">
        <f>VLOOKUP(Table1[[#This Row],[Item number]],'Full Item list'!B:O,14,0)</f>
        <v>PCS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f ca="1">VLOOKUP(Table1[[#This Row],[Item number]],'BOMs setting'!A:R,18,0)</f>
        <v>124.69637680800497</v>
      </c>
      <c r="V54" s="101" t="str">
        <f>VLOOKUP(Table1[[#This Row],[Item number]],'BOMs setting'!A:A,1,0)</f>
        <v>RE232F</v>
      </c>
      <c r="X54" s="102" t="s">
        <v>216</v>
      </c>
      <c r="Y54" s="2">
        <f>VLOOKUP(X54,'Products price validation'!A:B,2,0)</f>
        <v>2.6477450980392159</v>
      </c>
      <c r="Z54" s="2">
        <f>Y54*Table1[[#This Row],[Net weight]]</f>
        <v>26.47745098039216</v>
      </c>
      <c r="AB54" s="267">
        <f ca="1">Table1[[#This Row],[Cost Price]]-Z54</f>
        <v>98.218925827612807</v>
      </c>
      <c r="AD54" s="2">
        <f>VLOOKUP(Table1[[#This Row],[Item number]],'Product list 121317'!A:U,21,0)</f>
        <v>26.483128729752767</v>
      </c>
      <c r="AE54" s="2">
        <f ca="1">Table1[[#This Row],[Cost Price]]-AD54</f>
        <v>98.213248078252207</v>
      </c>
    </row>
    <row r="55" spans="1:31">
      <c r="A55" s="3" t="s">
        <v>219</v>
      </c>
      <c r="B55" s="3" t="s">
        <v>566</v>
      </c>
      <c r="C55" s="132"/>
      <c r="D55" s="132"/>
      <c r="E55" s="132"/>
      <c r="F55" s="132"/>
      <c r="G55" s="5">
        <f>VLOOKUP(Table1[[#This Row],[Item number]],'Full Item list'!B:J,9,0)</f>
        <v>5</v>
      </c>
      <c r="H55" s="5" t="str">
        <f>VLOOKUP(Table1[[#This Row],[Item number]],'Full Item list'!B:O,14,0)</f>
        <v>PCS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f ca="1">VLOOKUP(Table1[[#This Row],[Item number]],'BOMs setting'!A:R,18,0)</f>
        <v>104.31417974098569</v>
      </c>
      <c r="V55" s="101" t="str">
        <f>VLOOKUP(Table1[[#This Row],[Item number]],'BOMs setting'!A:A,1,0)</f>
        <v>RE260F</v>
      </c>
      <c r="X55" s="103" t="s">
        <v>219</v>
      </c>
      <c r="Y55" s="2">
        <f>VLOOKUP(X55,'Products price validation'!A:B,2,0)</f>
        <v>2.959613464246079</v>
      </c>
      <c r="Z55" s="2">
        <f>Y55*Table1[[#This Row],[Net weight]]</f>
        <v>14.798067321230395</v>
      </c>
      <c r="AB55" s="267">
        <f ca="1">Table1[[#This Row],[Cost Price]]-Z55</f>
        <v>89.516112419755302</v>
      </c>
      <c r="AD55" s="2">
        <f>VLOOKUP(Table1[[#This Row],[Item number]],'Product list 121317'!A:U,21,0)</f>
        <v>6.1009316627334922</v>
      </c>
      <c r="AE55" s="2">
        <f ca="1">Table1[[#This Row],[Cost Price]]-AD55</f>
        <v>98.213248078252207</v>
      </c>
    </row>
    <row r="56" spans="1:31">
      <c r="A56" t="s">
        <v>224</v>
      </c>
      <c r="B56" t="s">
        <v>567</v>
      </c>
      <c r="C56" s="134"/>
      <c r="D56" s="134"/>
      <c r="E56" s="134"/>
      <c r="F56" s="134"/>
      <c r="G56" s="5">
        <f>VLOOKUP(Table1[[#This Row],[Item number]],'Full Item list'!B:J,9,0)</f>
        <v>10</v>
      </c>
      <c r="H56" s="5" t="str">
        <f>VLOOKUP(Table1[[#This Row],[Item number]],'Full Item list'!B:O,14,0)</f>
        <v>PCS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f ca="1">VLOOKUP(Table1[[#This Row],[Item number]],'BOMs setting'!A:R,18,0)</f>
        <v>77.185680048907628</v>
      </c>
      <c r="V56" s="101" t="str">
        <f>VLOOKUP(Table1[[#This Row],[Item number]],'BOMs setting'!A:A,1,0)</f>
        <v>RE306F</v>
      </c>
      <c r="X56" s="171" t="s">
        <v>227</v>
      </c>
      <c r="Y56" s="2">
        <f>VLOOKUP(X56,'Products price validation'!A:B,2,0)</f>
        <v>1.5802400000000001</v>
      </c>
      <c r="Z56" s="2">
        <f>Y56*Table1[[#This Row],[Net weight]]</f>
        <v>15.8024</v>
      </c>
      <c r="AB56" s="267">
        <f ca="1">Table1[[#This Row],[Cost Price]]-Z56</f>
        <v>61.383280048907629</v>
      </c>
      <c r="AD56" s="2">
        <f>VLOOKUP(Table1[[#This Row],[Item number]],'Product list 121317'!A:U,21,0)</f>
        <v>15.802400000000002</v>
      </c>
      <c r="AE56" s="2">
        <f ca="1">Table1[[#This Row],[Cost Price]]-AD56</f>
        <v>61.383280048907622</v>
      </c>
    </row>
    <row r="57" spans="1:31">
      <c r="A57" t="s">
        <v>225</v>
      </c>
      <c r="B57" t="s">
        <v>568</v>
      </c>
      <c r="C57" s="134"/>
      <c r="D57" s="134"/>
      <c r="E57" s="134"/>
      <c r="F57" s="134"/>
      <c r="G57" s="5">
        <f>VLOOKUP(Table1[[#This Row],[Item number]],'Full Item list'!B:J,9,0)</f>
        <v>10</v>
      </c>
      <c r="H57" s="5" t="str">
        <f>VLOOKUP(Table1[[#This Row],[Item number]],'Full Item list'!B:O,14,0)</f>
        <v>PCS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f ca="1">VLOOKUP(Table1[[#This Row],[Item number]],'BOMs setting'!A:R,18,0)</f>
        <v>20.587649615650442</v>
      </c>
      <c r="V57" s="101" t="str">
        <f>VLOOKUP(Table1[[#This Row],[Item number]],'BOMs setting'!A:A,1,0)</f>
        <v>RE314F</v>
      </c>
      <c r="X57" s="171" t="s">
        <v>225</v>
      </c>
      <c r="Y57" s="2">
        <f>VLOOKUP(X57,'Products price validation'!A:B,2,0)</f>
        <v>9.4500000000000001E-2</v>
      </c>
      <c r="Z57" s="2">
        <f>Y57*Table1[[#This Row],[Net weight]]</f>
        <v>0.94500000000000006</v>
      </c>
      <c r="AB57" s="267">
        <f ca="1">Table1[[#This Row],[Cost Price]]-Z57</f>
        <v>19.642649615650441</v>
      </c>
      <c r="AD57" s="2">
        <f>VLOOKUP(Table1[[#This Row],[Item number]],'Product list 121317'!A:U,21,0)</f>
        <v>0.94500000000000006</v>
      </c>
      <c r="AE57" s="2">
        <f ca="1">Table1[[#This Row],[Cost Price]]-AD57</f>
        <v>19.642649615650441</v>
      </c>
    </row>
    <row r="58" spans="1:31">
      <c r="A58" t="s">
        <v>226</v>
      </c>
      <c r="B58" t="s">
        <v>569</v>
      </c>
      <c r="C58" s="134"/>
      <c r="D58" s="134"/>
      <c r="E58" s="134"/>
      <c r="F58" s="134"/>
      <c r="G58" s="5">
        <f>VLOOKUP(Table1[[#This Row],[Item number]],'Full Item list'!B:J,9,0)</f>
        <v>20</v>
      </c>
      <c r="H58" s="5" t="str">
        <f>VLOOKUP(Table1[[#This Row],[Item number]],'Full Item list'!B:O,14,0)</f>
        <v>PCS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f ca="1">VLOOKUP(Table1[[#This Row],[Item number]],'BOMs setting'!A:R,18,0)</f>
        <v>11.711324807825221</v>
      </c>
      <c r="V58" s="101" t="str">
        <f>VLOOKUP(Table1[[#This Row],[Item number]],'BOMs setting'!A:A,1,0)</f>
        <v>RE318F</v>
      </c>
      <c r="X58" s="171" t="s">
        <v>225</v>
      </c>
      <c r="Y58" s="2">
        <f>VLOOKUP(X58,'Products price validation'!A:B,2,0)</f>
        <v>9.4500000000000001E-2</v>
      </c>
      <c r="Z58" s="2">
        <f>Y58*Table1[[#This Row],[Net weight]]</f>
        <v>1.8900000000000001</v>
      </c>
      <c r="AB58" s="267">
        <f ca="1">Table1[[#This Row],[Cost Price]]-Z58</f>
        <v>9.8213248078252207</v>
      </c>
      <c r="AD58" s="2">
        <f>VLOOKUP(Table1[[#This Row],[Item number]],'Product list 121317'!A:U,21,0)</f>
        <v>1.8900000000000001</v>
      </c>
      <c r="AE58" s="2">
        <f ca="1">Table1[[#This Row],[Cost Price]]-AD58</f>
        <v>9.8213248078252207</v>
      </c>
    </row>
    <row r="59" spans="1:31">
      <c r="A59" t="s">
        <v>227</v>
      </c>
      <c r="B59" t="s">
        <v>570</v>
      </c>
      <c r="C59" s="134"/>
      <c r="D59" s="134"/>
      <c r="E59" s="134"/>
      <c r="F59" s="134"/>
      <c r="G59" s="5">
        <f>VLOOKUP(Table1[[#This Row],[Item number]],'Full Item list'!B:J,9,0)</f>
        <v>5</v>
      </c>
      <c r="H59" s="5" t="str">
        <f>VLOOKUP(Table1[[#This Row],[Item number]],'Full Item list'!B:O,14,0)</f>
        <v>PCS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f ca="1">VLOOKUP(Table1[[#This Row],[Item number]],'BOMs setting'!A:R,18,0)</f>
        <v>57.007824039126106</v>
      </c>
      <c r="V59" s="101" t="str">
        <f>VLOOKUP(Table1[[#This Row],[Item number]],'BOMs setting'!A:A,1,0)</f>
        <v>RE350F</v>
      </c>
      <c r="X59" s="171" t="s">
        <v>227</v>
      </c>
      <c r="Y59" s="2">
        <f>VLOOKUP(X59,'Products price validation'!A:B,2,0)</f>
        <v>1.5802400000000001</v>
      </c>
      <c r="Z59" s="2">
        <f>Y59*Table1[[#This Row],[Net weight]]</f>
        <v>7.9012000000000002</v>
      </c>
      <c r="AB59" s="267">
        <f ca="1">Table1[[#This Row],[Cost Price]]-Z59</f>
        <v>49.106624039126103</v>
      </c>
      <c r="AD59" s="2">
        <f>VLOOKUP(Table1[[#This Row],[Item number]],'Product list 121317'!A:U,21,0)</f>
        <v>7.9012000000000011</v>
      </c>
      <c r="AE59" s="2">
        <f ca="1">Table1[[#This Row],[Cost Price]]-AD59</f>
        <v>49.106624039126103</v>
      </c>
    </row>
    <row r="60" spans="1:31">
      <c r="A60" t="s">
        <v>239</v>
      </c>
      <c r="B60" t="s">
        <v>240</v>
      </c>
      <c r="C60" s="134"/>
      <c r="D60" s="134"/>
      <c r="E60" s="134"/>
      <c r="F60" s="134"/>
      <c r="G60" s="5">
        <f>VLOOKUP(Table1[[#This Row],[Item number]],'Full Item list'!B:J,9,0)</f>
        <v>1</v>
      </c>
      <c r="H60" s="5" t="str">
        <f>VLOOKUP(Table1[[#This Row],[Item number]],'Full Item list'!B:O,14,0)</f>
        <v>KG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f ca="1">VLOOKUP(Table1[[#This Row],[Item number]],'BOMs setting'!A:R,18,0)</f>
        <v>3.1328770609715613</v>
      </c>
      <c r="V60" s="101" t="str">
        <f>VLOOKUP(Table1[[#This Row],[Item number]],'BOMs setting'!A:A,1,0)</f>
        <v>SPMO001</v>
      </c>
      <c r="X60" s="170" t="s">
        <v>239</v>
      </c>
      <c r="Y60" s="2">
        <f>VLOOKUP(X60,'Products price validation'!A:B,2,0)</f>
        <v>3.1328770609715613</v>
      </c>
      <c r="Z60" s="2">
        <f>Y60*Table1[[#This Row],[Net weight]]</f>
        <v>3.1328770609715613</v>
      </c>
      <c r="AB60" s="267">
        <f ca="1">Table1[[#This Row],[Cost Price]]-Z60</f>
        <v>0</v>
      </c>
      <c r="AD60" s="2">
        <f>VLOOKUP(Table1[[#This Row],[Item number]],'Product list 121317'!A:U,21,0)</f>
        <v>3.1328770609715613</v>
      </c>
      <c r="AE60" s="2">
        <f ca="1">Table1[[#This Row],[Cost Price]]-AD60</f>
        <v>0</v>
      </c>
    </row>
    <row r="61" spans="1:31">
      <c r="A61" t="s">
        <v>242</v>
      </c>
      <c r="B61" t="s">
        <v>243</v>
      </c>
      <c r="C61" s="134"/>
      <c r="D61" s="134"/>
      <c r="E61" s="134"/>
      <c r="F61" s="134"/>
      <c r="G61" s="5">
        <f>VLOOKUP(Table1[[#This Row],[Item number]],'Full Item list'!B:J,9,0)</f>
        <v>1</v>
      </c>
      <c r="H61" s="5" t="str">
        <f>VLOOKUP(Table1[[#This Row],[Item number]],'Full Item list'!B:O,14,0)</f>
        <v>KG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f ca="1">VLOOKUP(Table1[[#This Row],[Item number]],'BOMs setting'!A:R,18,0)</f>
        <v>2.8574917167861131</v>
      </c>
      <c r="V61" s="101" t="str">
        <f>VLOOKUP(Table1[[#This Row],[Item number]],'BOMs setting'!A:A,1,0)</f>
        <v>SPMO002</v>
      </c>
      <c r="X61" s="171" t="s">
        <v>242</v>
      </c>
      <c r="Y61" s="2">
        <f>VLOOKUP(X61,'Products price validation'!A:B,2,0)</f>
        <v>2.8574917167861131</v>
      </c>
      <c r="Z61" s="2">
        <f>Y61*Table1[[#This Row],[Net weight]]</f>
        <v>2.8574917167861131</v>
      </c>
      <c r="AB61" s="267">
        <f ca="1">Table1[[#This Row],[Cost Price]]-Z61</f>
        <v>0</v>
      </c>
      <c r="AD61" s="2">
        <f>VLOOKUP(Table1[[#This Row],[Item number]],'Product list 121317'!A:U,21,0)</f>
        <v>2.8574917167861131</v>
      </c>
      <c r="AE61" s="2">
        <f ca="1">Table1[[#This Row],[Cost Price]]-AD61</f>
        <v>0</v>
      </c>
    </row>
    <row r="62" spans="1:31">
      <c r="A62" t="s">
        <v>244</v>
      </c>
      <c r="B62" t="s">
        <v>245</v>
      </c>
      <c r="C62" s="134"/>
      <c r="D62" s="134"/>
      <c r="E62" s="134"/>
      <c r="F62" s="134"/>
      <c r="G62" s="5">
        <f>VLOOKUP(Table1[[#This Row],[Item number]],'Full Item list'!B:J,9,0)</f>
        <v>1</v>
      </c>
      <c r="H62" s="5" t="str">
        <f>VLOOKUP(Table1[[#This Row],[Item number]],'Full Item list'!B:O,14,0)</f>
        <v>KG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f ca="1">VLOOKUP(Table1[[#This Row],[Item number]],'BOMs setting'!A:R,18,0)</f>
        <v>2.7209002527707562</v>
      </c>
      <c r="V62" s="101" t="str">
        <f>VLOOKUP(Table1[[#This Row],[Item number]],'BOMs setting'!A:A,1,0)</f>
        <v>SPMO003</v>
      </c>
      <c r="X62" s="170" t="s">
        <v>244</v>
      </c>
      <c r="Y62" s="2">
        <f>VLOOKUP(X62,'Products price validation'!A:B,2,0)</f>
        <v>2.7209002527707562</v>
      </c>
      <c r="Z62" s="2">
        <f>Y62*Table1[[#This Row],[Net weight]]</f>
        <v>2.7209002527707562</v>
      </c>
      <c r="AB62" s="267">
        <f ca="1">Table1[[#This Row],[Cost Price]]-Z62</f>
        <v>0</v>
      </c>
      <c r="AD62" s="2">
        <f>VLOOKUP(Table1[[#This Row],[Item number]],'Product list 121317'!A:U,21,0)</f>
        <v>2.7209002527707562</v>
      </c>
      <c r="AE62" s="2">
        <f ca="1">Table1[[#This Row],[Cost Price]]-AD62</f>
        <v>0</v>
      </c>
    </row>
    <row r="63" spans="1:31">
      <c r="A63" t="s">
        <v>246</v>
      </c>
      <c r="B63" t="s">
        <v>247</v>
      </c>
      <c r="C63" s="134"/>
      <c r="D63" s="134"/>
      <c r="E63" s="134"/>
      <c r="F63" s="134"/>
      <c r="G63" s="5">
        <f>VLOOKUP(Table1[[#This Row],[Item number]],'Full Item list'!B:J,9,0)</f>
        <v>1</v>
      </c>
      <c r="H63" s="5" t="str">
        <f>VLOOKUP(Table1[[#This Row],[Item number]],'Full Item list'!B:O,14,0)</f>
        <v>KG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f ca="1">VLOOKUP(Table1[[#This Row],[Item number]],'BOMs setting'!A:R,18,0)</f>
        <v>1.5553549889135256</v>
      </c>
      <c r="V63" s="101" t="str">
        <f>VLOOKUP(Table1[[#This Row],[Item number]],'BOMs setting'!A:A,1,0)</f>
        <v>SPMO006</v>
      </c>
      <c r="X63" s="171" t="s">
        <v>246</v>
      </c>
      <c r="Y63" s="2">
        <f>VLOOKUP(X63,'Products price validation'!A:B,2,0)</f>
        <v>1.5553549889135256</v>
      </c>
      <c r="Z63" s="2">
        <f>Y63*Table1[[#This Row],[Net weight]]</f>
        <v>1.5553549889135256</v>
      </c>
      <c r="AB63" s="267">
        <f ca="1">Table1[[#This Row],[Cost Price]]-Z63</f>
        <v>0</v>
      </c>
      <c r="AD63" s="2">
        <f>VLOOKUP(Table1[[#This Row],[Item number]],'Product list 121317'!A:U,21,0)</f>
        <v>1.5553549889135256</v>
      </c>
      <c r="AE63" s="2">
        <f ca="1">Table1[[#This Row],[Cost Price]]-AD63</f>
        <v>0</v>
      </c>
    </row>
    <row r="64" spans="1:31">
      <c r="A64" t="s">
        <v>248</v>
      </c>
      <c r="B64" t="s">
        <v>249</v>
      </c>
      <c r="C64" s="134"/>
      <c r="D64" s="134"/>
      <c r="E64" s="134"/>
      <c r="F64" s="134"/>
      <c r="G64" s="5">
        <f>VLOOKUP(Table1[[#This Row],[Item number]],'Full Item list'!B:J,9,0)</f>
        <v>1</v>
      </c>
      <c r="H64" s="5" t="str">
        <f>VLOOKUP(Table1[[#This Row],[Item number]],'Full Item list'!B:O,14,0)</f>
        <v>KG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f ca="1">VLOOKUP(Table1[[#This Row],[Item number]],'BOMs setting'!A:R,18,0)</f>
        <v>12.361538461538462</v>
      </c>
      <c r="V64" s="101" t="str">
        <f>VLOOKUP(Table1[[#This Row],[Item number]],'BOMs setting'!A:A,1,0)</f>
        <v>SPMO008</v>
      </c>
      <c r="X64" s="170" t="s">
        <v>248</v>
      </c>
      <c r="Y64" s="2">
        <f>VLOOKUP(X64,'Products price validation'!A:B,2,0)</f>
        <v>12.361538461538462</v>
      </c>
      <c r="Z64" s="2">
        <f>Y64*Table1[[#This Row],[Net weight]]</f>
        <v>12.361538461538462</v>
      </c>
      <c r="AB64" s="267">
        <f ca="1">Table1[[#This Row],[Cost Price]]-Z64</f>
        <v>0</v>
      </c>
      <c r="AD64" s="2">
        <f>VLOOKUP(Table1[[#This Row],[Item number]],'Product list 121317'!A:U,21,0)</f>
        <v>12.361538461538462</v>
      </c>
      <c r="AE64" s="2">
        <f ca="1">Table1[[#This Row],[Cost Price]]-AD64</f>
        <v>0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4"/>
  <sheetViews>
    <sheetView workbookViewId="0">
      <selection activeCell="I21" sqref="I21"/>
    </sheetView>
  </sheetViews>
  <sheetFormatPr defaultRowHeight="14.25"/>
  <cols>
    <col min="1" max="1" width="21.125" bestFit="1" customWidth="1"/>
  </cols>
  <sheetData>
    <row r="1" spans="1:7">
      <c r="A1" t="s">
        <v>0</v>
      </c>
      <c r="B1" t="s">
        <v>805</v>
      </c>
      <c r="C1" t="s">
        <v>806</v>
      </c>
      <c r="D1" t="s">
        <v>807</v>
      </c>
      <c r="E1" t="s">
        <v>783</v>
      </c>
    </row>
    <row r="2" spans="1:7">
      <c r="A2" t="s">
        <v>484</v>
      </c>
      <c r="B2">
        <v>0</v>
      </c>
      <c r="C2">
        <v>2.948</v>
      </c>
      <c r="D2">
        <v>0</v>
      </c>
      <c r="F2">
        <f>VLOOKUP(A2,'Cost Price New'!D:I,6,0)</f>
        <v>2.948</v>
      </c>
      <c r="G2" t="b">
        <f>F2=C2</f>
        <v>1</v>
      </c>
    </row>
    <row r="3" spans="1:7">
      <c r="A3" t="s">
        <v>485</v>
      </c>
      <c r="B3">
        <v>0</v>
      </c>
      <c r="C3">
        <v>14.15</v>
      </c>
      <c r="D3">
        <v>0</v>
      </c>
      <c r="F3">
        <f>VLOOKUP(A3,'Cost Price New'!D:I,6,0)</f>
        <v>14.15</v>
      </c>
      <c r="G3" t="b">
        <f t="shared" ref="G3:G4" si="0">F3=C3</f>
        <v>1</v>
      </c>
    </row>
    <row r="4" spans="1:7">
      <c r="A4" t="s">
        <v>486</v>
      </c>
      <c r="B4">
        <v>0</v>
      </c>
      <c r="C4">
        <v>0.375</v>
      </c>
      <c r="D4">
        <v>0</v>
      </c>
      <c r="F4">
        <f>VLOOKUP(A4,'Cost Price New'!D:I,6,0)</f>
        <v>0.375</v>
      </c>
      <c r="G4" t="b">
        <f t="shared" si="0"/>
        <v>1</v>
      </c>
    </row>
    <row r="5" spans="1:7" hidden="1">
      <c r="A5" t="s">
        <v>43</v>
      </c>
      <c r="B5">
        <v>0</v>
      </c>
      <c r="C5">
        <v>29.447669999999999</v>
      </c>
      <c r="D5">
        <v>0</v>
      </c>
      <c r="F5" t="e">
        <f>VLOOKUP(A5,'Cost Price New'!D:I,6,0)</f>
        <v>#N/A</v>
      </c>
    </row>
    <row r="6" spans="1:7" hidden="1">
      <c r="A6" t="s">
        <v>61</v>
      </c>
      <c r="B6">
        <v>0</v>
      </c>
      <c r="C6">
        <v>62.234760000000001</v>
      </c>
      <c r="D6">
        <v>0</v>
      </c>
      <c r="F6" t="e">
        <f>VLOOKUP(A6,'Cost Price New'!D:I,6,0)</f>
        <v>#N/A</v>
      </c>
    </row>
    <row r="7" spans="1:7" hidden="1">
      <c r="A7" t="s">
        <v>63</v>
      </c>
      <c r="B7">
        <v>0</v>
      </c>
      <c r="C7">
        <v>359.44653</v>
      </c>
      <c r="D7">
        <v>0</v>
      </c>
      <c r="F7" t="e">
        <f>VLOOKUP(A7,'Cost Price New'!D:I,6,0)</f>
        <v>#N/A</v>
      </c>
    </row>
    <row r="8" spans="1:7">
      <c r="A8" t="s">
        <v>64</v>
      </c>
      <c r="B8">
        <v>0</v>
      </c>
      <c r="C8">
        <v>9.32</v>
      </c>
      <c r="D8">
        <v>0</v>
      </c>
      <c r="F8">
        <f>VLOOKUP(A8,'Cost Price New'!D:I,6,0)</f>
        <v>9.32</v>
      </c>
      <c r="G8" t="b">
        <f t="shared" ref="G8:G9" si="1">F8=C8</f>
        <v>1</v>
      </c>
    </row>
    <row r="9" spans="1:7">
      <c r="A9" t="s">
        <v>487</v>
      </c>
      <c r="B9">
        <v>2.4</v>
      </c>
      <c r="C9">
        <v>11.13</v>
      </c>
      <c r="D9">
        <v>0</v>
      </c>
      <c r="F9">
        <f>VLOOKUP(A9,'Cost Price New'!D:I,6,0)</f>
        <v>11.13</v>
      </c>
      <c r="G9" t="b">
        <f t="shared" si="1"/>
        <v>1</v>
      </c>
    </row>
    <row r="10" spans="1:7" hidden="1">
      <c r="A10" t="s">
        <v>784</v>
      </c>
      <c r="B10">
        <v>0</v>
      </c>
      <c r="C10">
        <v>0</v>
      </c>
      <c r="D10">
        <v>0</v>
      </c>
      <c r="F10" t="e">
        <f>VLOOKUP(A10,'Cost Price New'!D:I,6,0)</f>
        <v>#N/A</v>
      </c>
    </row>
    <row r="11" spans="1:7" hidden="1">
      <c r="A11" t="s">
        <v>785</v>
      </c>
      <c r="B11">
        <v>0</v>
      </c>
      <c r="C11">
        <v>0</v>
      </c>
      <c r="D11">
        <v>0</v>
      </c>
      <c r="F11" t="e">
        <f>VLOOKUP(A11,'Cost Price New'!D:I,6,0)</f>
        <v>#N/A</v>
      </c>
    </row>
    <row r="12" spans="1:7" hidden="1">
      <c r="A12" t="s">
        <v>786</v>
      </c>
      <c r="B12">
        <v>0</v>
      </c>
      <c r="C12">
        <v>0</v>
      </c>
      <c r="D12">
        <v>0</v>
      </c>
      <c r="F12" t="e">
        <f>VLOOKUP(A12,'Cost Price New'!D:I,6,0)</f>
        <v>#N/A</v>
      </c>
    </row>
    <row r="13" spans="1:7">
      <c r="A13" t="s">
        <v>488</v>
      </c>
      <c r="B13">
        <v>0</v>
      </c>
      <c r="C13">
        <v>2.65</v>
      </c>
      <c r="D13">
        <v>0</v>
      </c>
      <c r="F13">
        <f>VLOOKUP(A13,'Cost Price New'!D:I,6,0)</f>
        <v>2.65</v>
      </c>
      <c r="G13" t="b">
        <f t="shared" ref="G13:G14" si="2">F13=C13</f>
        <v>1</v>
      </c>
    </row>
    <row r="14" spans="1:7">
      <c r="A14" t="s">
        <v>489</v>
      </c>
      <c r="B14">
        <v>0</v>
      </c>
      <c r="C14">
        <v>8.5</v>
      </c>
      <c r="D14">
        <v>0</v>
      </c>
      <c r="F14">
        <f>VLOOKUP(A14,'Cost Price New'!D:I,6,0)</f>
        <v>8.5</v>
      </c>
      <c r="G14" t="b">
        <f t="shared" si="2"/>
        <v>1</v>
      </c>
    </row>
    <row r="15" spans="1:7" hidden="1">
      <c r="A15" t="s">
        <v>787</v>
      </c>
      <c r="B15">
        <v>0</v>
      </c>
      <c r="C15">
        <v>0</v>
      </c>
      <c r="D15">
        <v>0</v>
      </c>
      <c r="F15" t="e">
        <f>VLOOKUP(A15,'Cost Price New'!D:I,6,0)</f>
        <v>#N/A</v>
      </c>
    </row>
    <row r="16" spans="1:7" hidden="1">
      <c r="A16" t="s">
        <v>75</v>
      </c>
      <c r="B16">
        <v>0</v>
      </c>
      <c r="C16">
        <v>0</v>
      </c>
      <c r="D16">
        <v>0</v>
      </c>
      <c r="F16" t="e">
        <f>VLOOKUP(A16,'Cost Price New'!D:I,6,0)</f>
        <v>#N/A</v>
      </c>
    </row>
    <row r="17" spans="1:7" hidden="1">
      <c r="A17" t="s">
        <v>87</v>
      </c>
      <c r="B17">
        <v>0</v>
      </c>
      <c r="C17">
        <v>0</v>
      </c>
      <c r="D17">
        <v>0</v>
      </c>
      <c r="F17" t="e">
        <f>VLOOKUP(A17,'Cost Price New'!D:I,6,0)</f>
        <v>#N/A</v>
      </c>
    </row>
    <row r="18" spans="1:7">
      <c r="A18" t="s">
        <v>490</v>
      </c>
      <c r="B18">
        <v>0</v>
      </c>
      <c r="C18">
        <v>3.49</v>
      </c>
      <c r="D18">
        <v>0</v>
      </c>
      <c r="F18">
        <f>VLOOKUP(A18,'Cost Price New'!D:I,6,0)</f>
        <v>3.49</v>
      </c>
      <c r="G18" t="b">
        <f t="shared" ref="G18:G22" si="3">F18=C18</f>
        <v>1</v>
      </c>
    </row>
    <row r="19" spans="1:7">
      <c r="A19" t="s">
        <v>91</v>
      </c>
      <c r="B19">
        <v>0</v>
      </c>
      <c r="C19">
        <v>14.65</v>
      </c>
      <c r="D19">
        <v>0</v>
      </c>
      <c r="F19">
        <f>VLOOKUP(A19,'Cost Price New'!D:I,6,0)</f>
        <v>14.649999999999999</v>
      </c>
      <c r="G19" t="b">
        <f t="shared" si="3"/>
        <v>1</v>
      </c>
    </row>
    <row r="20" spans="1:7">
      <c r="A20" t="s">
        <v>95</v>
      </c>
      <c r="B20">
        <v>0</v>
      </c>
      <c r="C20">
        <v>24.4</v>
      </c>
      <c r="D20">
        <v>0</v>
      </c>
      <c r="F20">
        <f>VLOOKUP(A20,'Cost Price New'!D:I,6,0)</f>
        <v>24.4</v>
      </c>
      <c r="G20" t="b">
        <f t="shared" si="3"/>
        <v>1</v>
      </c>
    </row>
    <row r="21" spans="1:7">
      <c r="A21" t="s">
        <v>97</v>
      </c>
      <c r="B21">
        <v>1.8</v>
      </c>
      <c r="C21">
        <v>0.2311</v>
      </c>
      <c r="D21">
        <v>0</v>
      </c>
      <c r="F21">
        <f>VLOOKUP(A21,'Cost Price New'!D:I,6,0)</f>
        <v>0.2311</v>
      </c>
      <c r="G21" t="b">
        <f t="shared" si="3"/>
        <v>1</v>
      </c>
    </row>
    <row r="22" spans="1:7">
      <c r="A22" t="s">
        <v>100</v>
      </c>
      <c r="B22">
        <v>1.6</v>
      </c>
      <c r="C22">
        <v>0.1</v>
      </c>
      <c r="D22">
        <v>0</v>
      </c>
      <c r="F22">
        <f>VLOOKUP(A22,'Cost Price New'!D:I,6,0)</f>
        <v>0.1</v>
      </c>
      <c r="G22" t="b">
        <f t="shared" si="3"/>
        <v>1</v>
      </c>
    </row>
    <row r="23" spans="1:7" hidden="1">
      <c r="A23" t="s">
        <v>788</v>
      </c>
      <c r="B23">
        <v>120</v>
      </c>
      <c r="C23">
        <v>31.428570000000001</v>
      </c>
      <c r="D23">
        <v>0</v>
      </c>
      <c r="F23" t="e">
        <f>VLOOKUP(A23,'Cost Price New'!D:I,6,0)</f>
        <v>#N/A</v>
      </c>
    </row>
    <row r="24" spans="1:7" hidden="1">
      <c r="A24" t="s">
        <v>789</v>
      </c>
      <c r="B24">
        <v>0</v>
      </c>
      <c r="C24">
        <v>0</v>
      </c>
      <c r="D24">
        <v>0</v>
      </c>
      <c r="F24" t="e">
        <f>VLOOKUP(A24,'Cost Price New'!D:I,6,0)</f>
        <v>#N/A</v>
      </c>
    </row>
    <row r="25" spans="1:7" hidden="1">
      <c r="A25" t="s">
        <v>790</v>
      </c>
      <c r="B25">
        <v>0</v>
      </c>
      <c r="C25">
        <v>0</v>
      </c>
      <c r="D25">
        <v>0</v>
      </c>
      <c r="F25" t="e">
        <f>VLOOKUP(A25,'Cost Price New'!D:I,6,0)</f>
        <v>#N/A</v>
      </c>
    </row>
    <row r="26" spans="1:7" hidden="1">
      <c r="A26" t="s">
        <v>791</v>
      </c>
      <c r="B26">
        <v>0</v>
      </c>
      <c r="C26">
        <v>0</v>
      </c>
      <c r="D26">
        <v>0</v>
      </c>
      <c r="F26" t="e">
        <f>VLOOKUP(A26,'Cost Price New'!D:I,6,0)</f>
        <v>#N/A</v>
      </c>
    </row>
    <row r="27" spans="1:7">
      <c r="A27" t="s">
        <v>102</v>
      </c>
      <c r="B27">
        <v>0</v>
      </c>
      <c r="C27">
        <v>4.9800000000000004</v>
      </c>
      <c r="D27">
        <v>0</v>
      </c>
      <c r="F27">
        <f>VLOOKUP(A27,'Cost Price New'!D:I,6,0)</f>
        <v>4.9800000000000004</v>
      </c>
      <c r="G27" t="b">
        <f>F27=C27</f>
        <v>1</v>
      </c>
    </row>
    <row r="28" spans="1:7" hidden="1">
      <c r="A28" t="s">
        <v>104</v>
      </c>
      <c r="B28">
        <v>0</v>
      </c>
      <c r="C28">
        <v>21.523399999999999</v>
      </c>
      <c r="D28">
        <v>0</v>
      </c>
      <c r="F28" t="e">
        <f>VLOOKUP(A28,'Cost Price New'!D:I,6,0)</f>
        <v>#N/A</v>
      </c>
    </row>
    <row r="29" spans="1:7" hidden="1">
      <c r="A29" t="s">
        <v>105</v>
      </c>
      <c r="B29">
        <v>0</v>
      </c>
      <c r="C29">
        <v>34.84599</v>
      </c>
      <c r="D29">
        <v>0</v>
      </c>
      <c r="F29" t="e">
        <f>VLOOKUP(A29,'Cost Price New'!D:I,6,0)</f>
        <v>#N/A</v>
      </c>
    </row>
    <row r="30" spans="1:7" hidden="1">
      <c r="A30" t="s">
        <v>106</v>
      </c>
      <c r="B30">
        <v>0</v>
      </c>
      <c r="C30">
        <v>67.00582</v>
      </c>
      <c r="D30">
        <v>0</v>
      </c>
      <c r="F30" t="e">
        <f>VLOOKUP(A30,'Cost Price New'!D:I,6,0)</f>
        <v>#N/A</v>
      </c>
    </row>
    <row r="31" spans="1:7" hidden="1">
      <c r="A31" t="s">
        <v>107</v>
      </c>
      <c r="B31">
        <v>1000</v>
      </c>
      <c r="C31">
        <v>0</v>
      </c>
      <c r="D31">
        <v>0</v>
      </c>
      <c r="F31" t="e">
        <f>VLOOKUP(A31,'Cost Price New'!D:I,6,0)</f>
        <v>#N/A</v>
      </c>
    </row>
    <row r="32" spans="1:7">
      <c r="A32" t="s">
        <v>491</v>
      </c>
      <c r="B32">
        <v>1.4</v>
      </c>
      <c r="C32">
        <v>26.4</v>
      </c>
      <c r="D32">
        <v>0</v>
      </c>
      <c r="F32">
        <f>VLOOKUP(A32,'Cost Price New'!D:I,6,0)</f>
        <v>26.400000000000002</v>
      </c>
      <c r="G32" t="b">
        <f t="shared" ref="G32:G42" si="4">F32=C32</f>
        <v>1</v>
      </c>
    </row>
    <row r="33" spans="1:7">
      <c r="A33" t="s">
        <v>492</v>
      </c>
      <c r="B33">
        <v>0</v>
      </c>
      <c r="C33">
        <v>9.6999999999999993</v>
      </c>
      <c r="D33">
        <v>0</v>
      </c>
      <c r="F33">
        <f>VLOOKUP(A33,'Cost Price New'!D:I,6,0)</f>
        <v>9.6999999999999993</v>
      </c>
      <c r="G33" t="b">
        <f t="shared" si="4"/>
        <v>1</v>
      </c>
    </row>
    <row r="34" spans="1:7">
      <c r="A34" t="s">
        <v>493</v>
      </c>
      <c r="B34">
        <v>0</v>
      </c>
      <c r="C34">
        <v>11.16</v>
      </c>
      <c r="D34">
        <v>0</v>
      </c>
      <c r="F34">
        <f>VLOOKUP(A34,'Cost Price New'!D:I,6,0)</f>
        <v>11.16</v>
      </c>
      <c r="G34" t="b">
        <f t="shared" si="4"/>
        <v>1</v>
      </c>
    </row>
    <row r="35" spans="1:7">
      <c r="A35" t="s">
        <v>114</v>
      </c>
      <c r="B35">
        <v>0</v>
      </c>
      <c r="C35">
        <v>5.7500000000000002E-2</v>
      </c>
      <c r="D35">
        <v>0</v>
      </c>
      <c r="F35">
        <f>VLOOKUP(A35,'Cost Price New'!D:I,6,0)</f>
        <v>5.7500000000000002E-2</v>
      </c>
      <c r="G35" t="b">
        <f t="shared" si="4"/>
        <v>1</v>
      </c>
    </row>
    <row r="36" spans="1:7">
      <c r="A36" t="s">
        <v>116</v>
      </c>
      <c r="B36">
        <v>1.5</v>
      </c>
      <c r="C36">
        <v>3.5000000000000003E-2</v>
      </c>
      <c r="D36">
        <v>0</v>
      </c>
      <c r="F36">
        <f>VLOOKUP(A36,'Cost Price New'!D:I,6,0)</f>
        <v>3.5000000000000003E-2</v>
      </c>
      <c r="G36" t="b">
        <f t="shared" si="4"/>
        <v>1</v>
      </c>
    </row>
    <row r="37" spans="1:7">
      <c r="A37" t="s">
        <v>118</v>
      </c>
      <c r="B37">
        <v>1.4</v>
      </c>
      <c r="C37">
        <v>3.5000000000000003E-2</v>
      </c>
      <c r="D37">
        <v>0</v>
      </c>
      <c r="F37">
        <f>VLOOKUP(A37,'Cost Price New'!D:I,6,0)</f>
        <v>3.5000000000000003E-2</v>
      </c>
      <c r="G37" t="b">
        <f t="shared" si="4"/>
        <v>1</v>
      </c>
    </row>
    <row r="38" spans="1:7">
      <c r="A38" t="s">
        <v>120</v>
      </c>
      <c r="B38">
        <v>1.5</v>
      </c>
      <c r="C38">
        <v>3.2000000000000001E-2</v>
      </c>
      <c r="D38">
        <v>0</v>
      </c>
      <c r="F38">
        <f>VLOOKUP(A38,'Cost Price New'!D:I,6,0)</f>
        <v>3.2000000000000001E-2</v>
      </c>
      <c r="G38" t="b">
        <f t="shared" si="4"/>
        <v>1</v>
      </c>
    </row>
    <row r="39" spans="1:7">
      <c r="A39" t="s">
        <v>122</v>
      </c>
      <c r="B39">
        <v>1.6</v>
      </c>
      <c r="C39">
        <v>3.5000000000000003E-2</v>
      </c>
      <c r="D39">
        <v>0</v>
      </c>
      <c r="F39">
        <f>VLOOKUP(A39,'Cost Price New'!D:I,6,0)</f>
        <v>3.5000000000000003E-2</v>
      </c>
      <c r="G39" t="b">
        <f t="shared" si="4"/>
        <v>1</v>
      </c>
    </row>
    <row r="40" spans="1:7">
      <c r="A40" t="s">
        <v>124</v>
      </c>
      <c r="B40">
        <v>0</v>
      </c>
      <c r="C40">
        <v>3.5000000000000003E-2</v>
      </c>
      <c r="D40">
        <v>0</v>
      </c>
      <c r="F40">
        <f>VLOOKUP(A40,'Cost Price New'!D:I,6,0)</f>
        <v>3.5000000000000003E-2</v>
      </c>
      <c r="G40" t="b">
        <f t="shared" si="4"/>
        <v>1</v>
      </c>
    </row>
    <row r="41" spans="1:7">
      <c r="A41" t="s">
        <v>126</v>
      </c>
      <c r="B41">
        <v>0</v>
      </c>
      <c r="C41">
        <v>0.45200000000000001</v>
      </c>
      <c r="D41">
        <v>0</v>
      </c>
      <c r="F41">
        <f>VLOOKUP(A41,'Cost Price New'!D:I,6,0)</f>
        <v>0.45200000000000001</v>
      </c>
      <c r="G41" t="b">
        <f t="shared" si="4"/>
        <v>1</v>
      </c>
    </row>
    <row r="42" spans="1:7">
      <c r="A42" t="s">
        <v>128</v>
      </c>
      <c r="B42">
        <v>0</v>
      </c>
      <c r="C42">
        <v>8.0399999999999991</v>
      </c>
      <c r="D42">
        <v>0</v>
      </c>
      <c r="F42">
        <f>VLOOKUP(A42,'Cost Price New'!D:I,6,0)</f>
        <v>8.0399999999999991</v>
      </c>
      <c r="G42" t="b">
        <f t="shared" si="4"/>
        <v>1</v>
      </c>
    </row>
    <row r="43" spans="1:7" hidden="1">
      <c r="A43" t="s">
        <v>792</v>
      </c>
      <c r="B43">
        <v>0</v>
      </c>
      <c r="C43">
        <v>0</v>
      </c>
      <c r="D43">
        <v>0</v>
      </c>
      <c r="F43" t="e">
        <f>VLOOKUP(A43,'Cost Price New'!D:I,6,0)</f>
        <v>#N/A</v>
      </c>
    </row>
    <row r="44" spans="1:7" hidden="1">
      <c r="A44" t="s">
        <v>130</v>
      </c>
      <c r="B44">
        <v>0</v>
      </c>
      <c r="C44">
        <v>55.70675</v>
      </c>
      <c r="D44">
        <v>0</v>
      </c>
      <c r="F44" t="e">
        <f>VLOOKUP(A44,'Cost Price New'!D:I,6,0)</f>
        <v>#N/A</v>
      </c>
    </row>
    <row r="45" spans="1:7" hidden="1">
      <c r="A45" t="s">
        <v>777</v>
      </c>
      <c r="B45">
        <v>0</v>
      </c>
      <c r="C45">
        <v>1.9615100000000001</v>
      </c>
      <c r="D45">
        <v>0</v>
      </c>
      <c r="F45" t="e">
        <f>VLOOKUP(A45,'Cost Price New'!D:I,6,0)</f>
        <v>#N/A</v>
      </c>
    </row>
    <row r="46" spans="1:7" hidden="1">
      <c r="A46" t="s">
        <v>132</v>
      </c>
      <c r="B46">
        <v>0</v>
      </c>
      <c r="C46">
        <v>27.364059999999998</v>
      </c>
      <c r="D46">
        <v>0</v>
      </c>
      <c r="F46" t="e">
        <f>VLOOKUP(A46,'Cost Price New'!D:I,6,0)</f>
        <v>#N/A</v>
      </c>
    </row>
    <row r="47" spans="1:7" hidden="1">
      <c r="A47" t="s">
        <v>503</v>
      </c>
      <c r="B47">
        <v>0</v>
      </c>
      <c r="C47">
        <v>1.09456</v>
      </c>
      <c r="D47">
        <v>0</v>
      </c>
      <c r="F47" t="e">
        <f>VLOOKUP(A47,'Cost Price New'!D:I,6,0)</f>
        <v>#N/A</v>
      </c>
    </row>
    <row r="48" spans="1:7" hidden="1">
      <c r="A48" t="s">
        <v>793</v>
      </c>
      <c r="B48">
        <v>2.94</v>
      </c>
      <c r="C48">
        <v>0</v>
      </c>
      <c r="D48">
        <v>0</v>
      </c>
      <c r="F48" t="e">
        <f>VLOOKUP(A48,'Cost Price New'!D:I,6,0)</f>
        <v>#N/A</v>
      </c>
    </row>
    <row r="49" spans="1:7" hidden="1">
      <c r="A49" t="s">
        <v>794</v>
      </c>
      <c r="B49">
        <v>3.15</v>
      </c>
      <c r="C49">
        <v>0</v>
      </c>
      <c r="D49">
        <v>0</v>
      </c>
      <c r="F49" t="e">
        <f>VLOOKUP(A49,'Cost Price New'!D:I,6,0)</f>
        <v>#N/A</v>
      </c>
    </row>
    <row r="50" spans="1:7" hidden="1">
      <c r="A50" t="s">
        <v>795</v>
      </c>
      <c r="B50">
        <v>4.12</v>
      </c>
      <c r="C50">
        <v>3.5</v>
      </c>
      <c r="D50">
        <v>0</v>
      </c>
      <c r="F50" t="e">
        <f>VLOOKUP(A50,'Cost Price New'!D:I,6,0)</f>
        <v>#N/A</v>
      </c>
    </row>
    <row r="51" spans="1:7" hidden="1">
      <c r="A51" t="s">
        <v>796</v>
      </c>
      <c r="B51">
        <v>12</v>
      </c>
      <c r="C51">
        <v>0</v>
      </c>
      <c r="D51">
        <v>0</v>
      </c>
      <c r="F51" t="e">
        <f>VLOOKUP(A51,'Cost Price New'!D:I,6,0)</f>
        <v>#N/A</v>
      </c>
    </row>
    <row r="52" spans="1:7" hidden="1">
      <c r="A52" t="s">
        <v>797</v>
      </c>
      <c r="B52">
        <v>4.63</v>
      </c>
      <c r="C52">
        <v>0</v>
      </c>
      <c r="D52">
        <v>0</v>
      </c>
      <c r="F52" t="e">
        <f>VLOOKUP(A52,'Cost Price New'!D:I,6,0)</f>
        <v>#N/A</v>
      </c>
    </row>
    <row r="53" spans="1:7" hidden="1">
      <c r="A53" t="s">
        <v>798</v>
      </c>
      <c r="B53">
        <v>0</v>
      </c>
      <c r="C53">
        <v>0</v>
      </c>
      <c r="D53">
        <v>0</v>
      </c>
      <c r="F53" t="e">
        <f>VLOOKUP(A53,'Cost Price New'!D:I,6,0)</f>
        <v>#N/A</v>
      </c>
    </row>
    <row r="54" spans="1:7" hidden="1">
      <c r="A54" t="s">
        <v>799</v>
      </c>
      <c r="B54">
        <v>0</v>
      </c>
      <c r="C54">
        <v>0</v>
      </c>
      <c r="D54">
        <v>0</v>
      </c>
      <c r="F54" t="e">
        <f>VLOOKUP(A54,'Cost Price New'!D:I,6,0)</f>
        <v>#N/A</v>
      </c>
    </row>
    <row r="55" spans="1:7" hidden="1">
      <c r="A55" t="s">
        <v>800</v>
      </c>
      <c r="B55">
        <v>0</v>
      </c>
      <c r="C55">
        <v>0</v>
      </c>
      <c r="D55">
        <v>0</v>
      </c>
      <c r="F55" t="e">
        <f>VLOOKUP(A55,'Cost Price New'!D:I,6,0)</f>
        <v>#N/A</v>
      </c>
    </row>
    <row r="56" spans="1:7">
      <c r="A56" t="s">
        <v>310</v>
      </c>
      <c r="B56">
        <v>0</v>
      </c>
      <c r="C56">
        <v>491.06623999999999</v>
      </c>
      <c r="D56">
        <v>0</v>
      </c>
      <c r="F56">
        <f>VLOOKUP(A56,'Cost Price New'!D:I,6,0)</f>
        <v>491.06624039126103</v>
      </c>
      <c r="G56" t="b">
        <f t="shared" ref="G56:G57" si="5">F56=C56</f>
        <v>0</v>
      </c>
    </row>
    <row r="57" spans="1:7">
      <c r="A57" t="s">
        <v>311</v>
      </c>
      <c r="B57">
        <v>0</v>
      </c>
      <c r="C57">
        <v>491.06623999999999</v>
      </c>
      <c r="D57">
        <v>0</v>
      </c>
      <c r="F57">
        <f>VLOOKUP(A57,'Cost Price New'!D:I,6,0)</f>
        <v>491.06624039126103</v>
      </c>
      <c r="G57" t="b">
        <f t="shared" si="5"/>
        <v>0</v>
      </c>
    </row>
    <row r="58" spans="1:7" hidden="1">
      <c r="A58" t="s">
        <v>801</v>
      </c>
      <c r="B58">
        <v>0</v>
      </c>
      <c r="C58">
        <v>0</v>
      </c>
      <c r="D58">
        <v>0</v>
      </c>
      <c r="F58" t="e">
        <f>VLOOKUP(A58,'Cost Price New'!D:I,6,0)</f>
        <v>#N/A</v>
      </c>
    </row>
    <row r="59" spans="1:7" hidden="1">
      <c r="A59" t="s">
        <v>133</v>
      </c>
      <c r="B59">
        <v>0</v>
      </c>
      <c r="C59">
        <v>0</v>
      </c>
      <c r="D59">
        <v>0</v>
      </c>
      <c r="F59" t="e">
        <f>VLOOKUP(A59,'Cost Price New'!D:I,6,0)</f>
        <v>#N/A</v>
      </c>
    </row>
    <row r="60" spans="1:7" hidden="1">
      <c r="A60" t="s">
        <v>136</v>
      </c>
      <c r="B60">
        <v>0</v>
      </c>
      <c r="C60">
        <v>0</v>
      </c>
      <c r="D60">
        <v>0</v>
      </c>
      <c r="F60" t="e">
        <f>VLOOKUP(A60,'Cost Price New'!D:I,6,0)</f>
        <v>#N/A</v>
      </c>
    </row>
    <row r="61" spans="1:7">
      <c r="A61" t="s">
        <v>137</v>
      </c>
      <c r="B61">
        <v>0</v>
      </c>
      <c r="C61">
        <v>1.91</v>
      </c>
      <c r="D61">
        <v>0</v>
      </c>
      <c r="F61">
        <f>VLOOKUP(A61,'Cost Price New'!D:I,6,0)</f>
        <v>1.91</v>
      </c>
      <c r="G61" t="b">
        <f t="shared" ref="G61:G62" si="6">F61=C61</f>
        <v>1</v>
      </c>
    </row>
    <row r="62" spans="1:7">
      <c r="A62" t="s">
        <v>139</v>
      </c>
      <c r="B62">
        <v>0</v>
      </c>
      <c r="C62">
        <v>2.4</v>
      </c>
      <c r="D62">
        <v>0</v>
      </c>
      <c r="F62">
        <f>VLOOKUP(A62,'Cost Price New'!D:I,6,0)</f>
        <v>2.4</v>
      </c>
      <c r="G62" t="b">
        <f t="shared" si="6"/>
        <v>1</v>
      </c>
    </row>
    <row r="63" spans="1:7" hidden="1">
      <c r="A63" t="s">
        <v>141</v>
      </c>
      <c r="B63">
        <v>0</v>
      </c>
      <c r="C63">
        <v>0</v>
      </c>
      <c r="D63">
        <v>0</v>
      </c>
      <c r="F63" t="e">
        <f>VLOOKUP(A63,'Cost Price New'!D:I,6,0)</f>
        <v>#N/A</v>
      </c>
    </row>
    <row r="64" spans="1:7" hidden="1">
      <c r="A64" t="s">
        <v>142</v>
      </c>
      <c r="B64">
        <v>0</v>
      </c>
      <c r="C64">
        <v>0</v>
      </c>
      <c r="D64">
        <v>0</v>
      </c>
      <c r="F64" t="e">
        <f>VLOOKUP(A64,'Cost Price New'!D:I,6,0)</f>
        <v>#N/A</v>
      </c>
    </row>
    <row r="65" spans="1:6" hidden="1">
      <c r="A65" t="s">
        <v>143</v>
      </c>
      <c r="B65">
        <v>0</v>
      </c>
      <c r="C65">
        <v>0</v>
      </c>
      <c r="D65">
        <v>0</v>
      </c>
      <c r="F65" t="e">
        <f>VLOOKUP(A65,'Cost Price New'!D:I,6,0)</f>
        <v>#N/A</v>
      </c>
    </row>
    <row r="66" spans="1:6" hidden="1">
      <c r="A66" t="s">
        <v>144</v>
      </c>
      <c r="B66">
        <v>0</v>
      </c>
      <c r="C66">
        <v>0</v>
      </c>
      <c r="D66">
        <v>0</v>
      </c>
      <c r="F66" t="e">
        <f>VLOOKUP(A66,'Cost Price New'!D:I,6,0)</f>
        <v>#N/A</v>
      </c>
    </row>
    <row r="67" spans="1:6" hidden="1">
      <c r="A67" t="s">
        <v>145</v>
      </c>
      <c r="B67">
        <v>0</v>
      </c>
      <c r="C67">
        <v>0</v>
      </c>
      <c r="D67">
        <v>0</v>
      </c>
      <c r="F67" t="e">
        <f>VLOOKUP(A67,'Cost Price New'!D:I,6,0)</f>
        <v>#N/A</v>
      </c>
    </row>
    <row r="68" spans="1:6" hidden="1">
      <c r="A68" t="s">
        <v>148</v>
      </c>
      <c r="B68">
        <v>0</v>
      </c>
      <c r="C68">
        <v>0</v>
      </c>
      <c r="D68">
        <v>0</v>
      </c>
      <c r="F68" t="e">
        <f>VLOOKUP(A68,'Cost Price New'!D:I,6,0)</f>
        <v>#N/A</v>
      </c>
    </row>
    <row r="69" spans="1:6" hidden="1">
      <c r="A69" t="s">
        <v>149</v>
      </c>
      <c r="B69">
        <v>0</v>
      </c>
      <c r="C69">
        <v>32.877040000000001</v>
      </c>
      <c r="D69">
        <v>0</v>
      </c>
      <c r="F69" t="e">
        <f>VLOOKUP(A69,'Cost Price New'!D:I,6,0)</f>
        <v>#N/A</v>
      </c>
    </row>
    <row r="70" spans="1:6" hidden="1">
      <c r="A70" t="s">
        <v>501</v>
      </c>
      <c r="B70">
        <v>0</v>
      </c>
      <c r="C70">
        <v>1.31508</v>
      </c>
      <c r="D70">
        <v>0</v>
      </c>
      <c r="F70" t="e">
        <f>VLOOKUP(A70,'Cost Price New'!D:I,6,0)</f>
        <v>#N/A</v>
      </c>
    </row>
    <row r="71" spans="1:6" hidden="1">
      <c r="A71" t="s">
        <v>151</v>
      </c>
      <c r="B71">
        <v>0</v>
      </c>
      <c r="C71">
        <v>32.999420000000001</v>
      </c>
      <c r="D71">
        <v>0</v>
      </c>
      <c r="F71" t="e">
        <f>VLOOKUP(A71,'Cost Price New'!D:I,6,0)</f>
        <v>#N/A</v>
      </c>
    </row>
    <row r="72" spans="1:6" hidden="1">
      <c r="A72" t="s">
        <v>504</v>
      </c>
      <c r="B72">
        <v>0</v>
      </c>
      <c r="C72">
        <v>1.3199799999999999</v>
      </c>
      <c r="D72">
        <v>0</v>
      </c>
      <c r="F72" t="e">
        <f>VLOOKUP(A72,'Cost Price New'!D:I,6,0)</f>
        <v>#N/A</v>
      </c>
    </row>
    <row r="73" spans="1:6" hidden="1">
      <c r="A73" t="s">
        <v>152</v>
      </c>
      <c r="B73">
        <v>0</v>
      </c>
      <c r="C73">
        <v>31.62696</v>
      </c>
      <c r="D73">
        <v>0</v>
      </c>
      <c r="F73" t="e">
        <f>VLOOKUP(A73,'Cost Price New'!D:I,6,0)</f>
        <v>#N/A</v>
      </c>
    </row>
    <row r="74" spans="1:6" hidden="1">
      <c r="A74" t="s">
        <v>505</v>
      </c>
      <c r="B74">
        <v>0</v>
      </c>
      <c r="C74">
        <v>1.26508</v>
      </c>
      <c r="D74">
        <v>0</v>
      </c>
      <c r="F74" t="e">
        <f>VLOOKUP(A74,'Cost Price New'!D:I,6,0)</f>
        <v>#N/A</v>
      </c>
    </row>
    <row r="75" spans="1:6" hidden="1">
      <c r="A75" t="s">
        <v>153</v>
      </c>
      <c r="B75">
        <v>0</v>
      </c>
      <c r="C75">
        <v>31.521439999999998</v>
      </c>
      <c r="D75">
        <v>0</v>
      </c>
      <c r="F75" t="e">
        <f>VLOOKUP(A75,'Cost Price New'!D:I,6,0)</f>
        <v>#N/A</v>
      </c>
    </row>
    <row r="76" spans="1:6" hidden="1">
      <c r="A76" t="s">
        <v>506</v>
      </c>
      <c r="B76">
        <v>0</v>
      </c>
      <c r="C76">
        <v>1.2608600000000001</v>
      </c>
      <c r="D76">
        <v>0</v>
      </c>
      <c r="F76" t="e">
        <f>VLOOKUP(A76,'Cost Price New'!D:I,6,0)</f>
        <v>#N/A</v>
      </c>
    </row>
    <row r="77" spans="1:6" hidden="1">
      <c r="A77" t="s">
        <v>154</v>
      </c>
      <c r="B77">
        <v>0</v>
      </c>
      <c r="C77">
        <v>27.235880000000002</v>
      </c>
      <c r="D77">
        <v>0</v>
      </c>
      <c r="F77" t="e">
        <f>VLOOKUP(A77,'Cost Price New'!D:I,6,0)</f>
        <v>#N/A</v>
      </c>
    </row>
    <row r="78" spans="1:6" hidden="1">
      <c r="A78" t="s">
        <v>507</v>
      </c>
      <c r="B78">
        <v>0</v>
      </c>
      <c r="C78">
        <v>1.08944</v>
      </c>
      <c r="D78">
        <v>0</v>
      </c>
      <c r="F78" t="e">
        <f>VLOOKUP(A78,'Cost Price New'!D:I,6,0)</f>
        <v>#N/A</v>
      </c>
    </row>
    <row r="79" spans="1:6" hidden="1">
      <c r="A79" t="s">
        <v>155</v>
      </c>
      <c r="B79">
        <v>0</v>
      </c>
      <c r="C79">
        <v>32.881410000000002</v>
      </c>
      <c r="D79">
        <v>0</v>
      </c>
      <c r="F79" t="e">
        <f>VLOOKUP(A79,'Cost Price New'!D:I,6,0)</f>
        <v>#N/A</v>
      </c>
    </row>
    <row r="80" spans="1:6" hidden="1">
      <c r="A80" t="s">
        <v>508</v>
      </c>
      <c r="B80">
        <v>0</v>
      </c>
      <c r="C80">
        <v>1.3152600000000001</v>
      </c>
      <c r="D80">
        <v>0</v>
      </c>
      <c r="F80" t="e">
        <f>VLOOKUP(A80,'Cost Price New'!D:I,6,0)</f>
        <v>#N/A</v>
      </c>
    </row>
    <row r="81" spans="1:6" hidden="1">
      <c r="A81" t="s">
        <v>156</v>
      </c>
      <c r="B81">
        <v>0</v>
      </c>
      <c r="C81">
        <v>34.252490000000002</v>
      </c>
      <c r="D81">
        <v>0</v>
      </c>
      <c r="F81" t="e">
        <f>VLOOKUP(A81,'Cost Price New'!D:I,6,0)</f>
        <v>#N/A</v>
      </c>
    </row>
    <row r="82" spans="1:6" hidden="1">
      <c r="A82" t="s">
        <v>509</v>
      </c>
      <c r="B82">
        <v>0</v>
      </c>
      <c r="C82">
        <v>1.3701000000000001</v>
      </c>
      <c r="D82">
        <v>0</v>
      </c>
      <c r="F82" t="e">
        <f>VLOOKUP(A82,'Cost Price New'!D:I,6,0)</f>
        <v>#N/A</v>
      </c>
    </row>
    <row r="83" spans="1:6" hidden="1">
      <c r="A83" t="s">
        <v>157</v>
      </c>
      <c r="B83">
        <v>0</v>
      </c>
      <c r="C83">
        <v>34.24156</v>
      </c>
      <c r="D83">
        <v>0</v>
      </c>
      <c r="F83" t="e">
        <f>VLOOKUP(A83,'Cost Price New'!D:I,6,0)</f>
        <v>#N/A</v>
      </c>
    </row>
    <row r="84" spans="1:6" hidden="1">
      <c r="A84" t="s">
        <v>510</v>
      </c>
      <c r="B84">
        <v>0</v>
      </c>
      <c r="C84">
        <v>1.3696600000000001</v>
      </c>
      <c r="D84">
        <v>0</v>
      </c>
      <c r="F84" t="e">
        <f>VLOOKUP(A84,'Cost Price New'!D:I,6,0)</f>
        <v>#N/A</v>
      </c>
    </row>
    <row r="85" spans="1:6" hidden="1">
      <c r="A85" t="s">
        <v>158</v>
      </c>
      <c r="B85">
        <v>0</v>
      </c>
      <c r="C85">
        <v>41.38158</v>
      </c>
      <c r="D85">
        <v>0</v>
      </c>
      <c r="F85" t="e">
        <f>VLOOKUP(A85,'Cost Price New'!D:I,6,0)</f>
        <v>#N/A</v>
      </c>
    </row>
    <row r="86" spans="1:6" hidden="1">
      <c r="A86" t="s">
        <v>511</v>
      </c>
      <c r="B86">
        <v>0</v>
      </c>
      <c r="C86">
        <v>1.65526</v>
      </c>
      <c r="D86">
        <v>0</v>
      </c>
      <c r="F86" t="e">
        <f>VLOOKUP(A86,'Cost Price New'!D:I,6,0)</f>
        <v>#N/A</v>
      </c>
    </row>
    <row r="87" spans="1:6" hidden="1">
      <c r="A87" t="s">
        <v>159</v>
      </c>
      <c r="B87">
        <v>0</v>
      </c>
      <c r="C87">
        <v>40.747390000000003</v>
      </c>
      <c r="D87">
        <v>0</v>
      </c>
      <c r="F87" t="e">
        <f>VLOOKUP(A87,'Cost Price New'!D:I,6,0)</f>
        <v>#N/A</v>
      </c>
    </row>
    <row r="88" spans="1:6" hidden="1">
      <c r="A88" t="s">
        <v>512</v>
      </c>
      <c r="B88">
        <v>0</v>
      </c>
      <c r="C88">
        <v>1.6298999999999999</v>
      </c>
      <c r="D88">
        <v>0</v>
      </c>
      <c r="F88" t="e">
        <f>VLOOKUP(A88,'Cost Price New'!D:I,6,0)</f>
        <v>#N/A</v>
      </c>
    </row>
    <row r="89" spans="1:6" hidden="1">
      <c r="A89" t="s">
        <v>160</v>
      </c>
      <c r="B89">
        <v>0</v>
      </c>
      <c r="C89">
        <v>40.677370000000003</v>
      </c>
      <c r="D89">
        <v>0</v>
      </c>
      <c r="F89" t="e">
        <f>VLOOKUP(A89,'Cost Price New'!D:I,6,0)</f>
        <v>#N/A</v>
      </c>
    </row>
    <row r="90" spans="1:6" hidden="1">
      <c r="A90" t="s">
        <v>513</v>
      </c>
      <c r="B90">
        <v>0</v>
      </c>
      <c r="C90">
        <v>1.6270899999999999</v>
      </c>
      <c r="D90">
        <v>0</v>
      </c>
      <c r="F90" t="e">
        <f>VLOOKUP(A90,'Cost Price New'!D:I,6,0)</f>
        <v>#N/A</v>
      </c>
    </row>
    <row r="91" spans="1:6" hidden="1">
      <c r="A91" t="s">
        <v>161</v>
      </c>
      <c r="B91">
        <v>0</v>
      </c>
      <c r="C91">
        <v>40.060400000000001</v>
      </c>
      <c r="D91">
        <v>0</v>
      </c>
      <c r="F91" t="e">
        <f>VLOOKUP(A91,'Cost Price New'!D:I,6,0)</f>
        <v>#N/A</v>
      </c>
    </row>
    <row r="92" spans="1:6" hidden="1">
      <c r="A92" t="s">
        <v>514</v>
      </c>
      <c r="B92">
        <v>0</v>
      </c>
      <c r="C92">
        <v>1.60242</v>
      </c>
      <c r="D92">
        <v>0</v>
      </c>
      <c r="F92" t="e">
        <f>VLOOKUP(A92,'Cost Price New'!D:I,6,0)</f>
        <v>#N/A</v>
      </c>
    </row>
    <row r="93" spans="1:6" hidden="1">
      <c r="A93" t="s">
        <v>162</v>
      </c>
      <c r="B93">
        <v>0</v>
      </c>
      <c r="C93">
        <v>26.390830000000001</v>
      </c>
      <c r="D93">
        <v>0</v>
      </c>
      <c r="F93" t="e">
        <f>VLOOKUP(A93,'Cost Price New'!D:I,6,0)</f>
        <v>#N/A</v>
      </c>
    </row>
    <row r="94" spans="1:6" hidden="1">
      <c r="A94" t="s">
        <v>515</v>
      </c>
      <c r="B94">
        <v>0</v>
      </c>
      <c r="C94">
        <v>1.0556300000000001</v>
      </c>
      <c r="D94">
        <v>0</v>
      </c>
      <c r="F94" t="e">
        <f>VLOOKUP(A94,'Cost Price New'!D:I,6,0)</f>
        <v>#N/A</v>
      </c>
    </row>
    <row r="95" spans="1:6" hidden="1">
      <c r="A95" t="s">
        <v>163</v>
      </c>
      <c r="B95">
        <v>0</v>
      </c>
      <c r="C95">
        <v>28.29514</v>
      </c>
      <c r="D95">
        <v>0</v>
      </c>
      <c r="F95" t="e">
        <f>VLOOKUP(A95,'Cost Price New'!D:I,6,0)</f>
        <v>#N/A</v>
      </c>
    </row>
    <row r="96" spans="1:6" hidden="1">
      <c r="A96" t="s">
        <v>516</v>
      </c>
      <c r="B96">
        <v>0</v>
      </c>
      <c r="C96">
        <v>1.13181</v>
      </c>
      <c r="D96">
        <v>0</v>
      </c>
      <c r="F96" t="e">
        <f>VLOOKUP(A96,'Cost Price New'!D:I,6,0)</f>
        <v>#N/A</v>
      </c>
    </row>
    <row r="97" spans="1:7">
      <c r="A97" t="s">
        <v>185</v>
      </c>
      <c r="B97">
        <v>0</v>
      </c>
      <c r="C97">
        <v>8.5399999999999991</v>
      </c>
      <c r="D97">
        <v>0</v>
      </c>
      <c r="F97">
        <f>VLOOKUP(A97,'Cost Price New'!D:I,6,0)</f>
        <v>8.5399999999999991</v>
      </c>
      <c r="G97" t="b">
        <f t="shared" ref="G97:G102" si="7">F97=C97</f>
        <v>1</v>
      </c>
    </row>
    <row r="98" spans="1:7">
      <c r="A98" t="s">
        <v>802</v>
      </c>
      <c r="B98">
        <v>0</v>
      </c>
      <c r="C98">
        <v>17.54</v>
      </c>
      <c r="D98">
        <v>0</v>
      </c>
      <c r="F98">
        <f>VLOOKUP(A98,'Cost Price New'!D:I,6,0)</f>
        <v>17.54</v>
      </c>
      <c r="G98" t="b">
        <f t="shared" si="7"/>
        <v>1</v>
      </c>
    </row>
    <row r="99" spans="1:7">
      <c r="A99" t="s">
        <v>803</v>
      </c>
      <c r="B99">
        <v>0</v>
      </c>
      <c r="C99">
        <v>40.9</v>
      </c>
      <c r="D99">
        <v>0</v>
      </c>
      <c r="F99">
        <f>VLOOKUP(A99,'Cost Price New'!D:I,6,0)</f>
        <v>40.9</v>
      </c>
      <c r="G99" t="b">
        <f t="shared" si="7"/>
        <v>1</v>
      </c>
    </row>
    <row r="100" spans="1:7">
      <c r="A100" t="s">
        <v>189</v>
      </c>
      <c r="B100">
        <v>0</v>
      </c>
      <c r="C100">
        <v>35.75</v>
      </c>
      <c r="D100">
        <v>0</v>
      </c>
      <c r="F100">
        <f>VLOOKUP(A100,'Cost Price New'!D:I,6,0)</f>
        <v>35.75</v>
      </c>
      <c r="G100" t="b">
        <f t="shared" si="7"/>
        <v>1</v>
      </c>
    </row>
    <row r="101" spans="1:7">
      <c r="A101" t="s">
        <v>191</v>
      </c>
      <c r="B101">
        <v>0</v>
      </c>
      <c r="C101">
        <v>6.3</v>
      </c>
      <c r="D101">
        <v>0</v>
      </c>
      <c r="F101">
        <f>VLOOKUP(A101,'Cost Price New'!D:I,6,0)</f>
        <v>6.3</v>
      </c>
      <c r="G101" t="b">
        <f t="shared" si="7"/>
        <v>1</v>
      </c>
    </row>
    <row r="102" spans="1:7">
      <c r="A102" t="s">
        <v>193</v>
      </c>
      <c r="B102">
        <v>1.2</v>
      </c>
      <c r="C102">
        <v>2.93</v>
      </c>
      <c r="D102">
        <v>0</v>
      </c>
      <c r="F102">
        <f>VLOOKUP(A102,'Cost Price New'!D:I,6,0)</f>
        <v>2.93</v>
      </c>
      <c r="G102" t="b">
        <f t="shared" si="7"/>
        <v>1</v>
      </c>
    </row>
    <row r="103" spans="1:7" hidden="1">
      <c r="A103" t="s">
        <v>195</v>
      </c>
      <c r="B103">
        <v>0</v>
      </c>
      <c r="C103">
        <v>0</v>
      </c>
      <c r="D103">
        <v>0</v>
      </c>
      <c r="F103" t="e">
        <f>VLOOKUP(A103,'Cost Price New'!D:I,6,0)</f>
        <v>#N/A</v>
      </c>
    </row>
    <row r="104" spans="1:7" hidden="1">
      <c r="A104" t="s">
        <v>196</v>
      </c>
      <c r="B104">
        <v>0</v>
      </c>
      <c r="C104">
        <v>7.5683299999999996</v>
      </c>
      <c r="D104">
        <v>0</v>
      </c>
      <c r="F104" t="e">
        <f>VLOOKUP(A104,'Cost Price New'!D:I,6,0)</f>
        <v>#N/A</v>
      </c>
    </row>
    <row r="105" spans="1:7">
      <c r="A105" t="s">
        <v>494</v>
      </c>
      <c r="B105">
        <v>0</v>
      </c>
      <c r="C105">
        <v>4.7</v>
      </c>
      <c r="D105">
        <v>0</v>
      </c>
      <c r="F105">
        <f>VLOOKUP(A105,'Cost Price New'!D:I,6,0)</f>
        <v>4.7</v>
      </c>
      <c r="G105" t="b">
        <f t="shared" ref="G105:G106" si="8">F105=C105</f>
        <v>1</v>
      </c>
    </row>
    <row r="106" spans="1:7">
      <c r="A106" t="s">
        <v>495</v>
      </c>
      <c r="B106">
        <v>0</v>
      </c>
      <c r="C106">
        <v>2.54</v>
      </c>
      <c r="D106">
        <v>0</v>
      </c>
      <c r="F106">
        <f>VLOOKUP(A106,'Cost Price New'!D:I,6,0)</f>
        <v>2.54</v>
      </c>
      <c r="G106" t="b">
        <f t="shared" si="8"/>
        <v>1</v>
      </c>
    </row>
    <row r="107" spans="1:7" hidden="1">
      <c r="A107" t="s">
        <v>198</v>
      </c>
      <c r="B107">
        <v>0</v>
      </c>
      <c r="C107">
        <v>0</v>
      </c>
      <c r="D107">
        <v>0</v>
      </c>
      <c r="F107" t="e">
        <f>VLOOKUP(A107,'Cost Price New'!D:I,6,0)</f>
        <v>#N/A</v>
      </c>
    </row>
    <row r="108" spans="1:7" hidden="1">
      <c r="A108" t="s">
        <v>199</v>
      </c>
      <c r="B108">
        <v>0</v>
      </c>
      <c r="C108">
        <v>0</v>
      </c>
      <c r="D108">
        <v>0</v>
      </c>
      <c r="F108" t="e">
        <f>VLOOKUP(A108,'Cost Price New'!D:I,6,0)</f>
        <v>#N/A</v>
      </c>
    </row>
    <row r="109" spans="1:7" hidden="1">
      <c r="A109" t="s">
        <v>200</v>
      </c>
      <c r="B109">
        <v>0</v>
      </c>
      <c r="C109">
        <v>0</v>
      </c>
      <c r="D109">
        <v>0</v>
      </c>
      <c r="F109" t="e">
        <f>VLOOKUP(A109,'Cost Price New'!D:I,6,0)</f>
        <v>#N/A</v>
      </c>
    </row>
    <row r="110" spans="1:7" hidden="1">
      <c r="A110" t="s">
        <v>201</v>
      </c>
      <c r="B110">
        <v>0</v>
      </c>
      <c r="C110">
        <v>0</v>
      </c>
      <c r="D110">
        <v>0</v>
      </c>
      <c r="F110" t="e">
        <f>VLOOKUP(A110,'Cost Price New'!D:I,6,0)</f>
        <v>#N/A</v>
      </c>
    </row>
    <row r="111" spans="1:7" hidden="1">
      <c r="A111" t="s">
        <v>202</v>
      </c>
      <c r="B111">
        <v>0</v>
      </c>
      <c r="C111">
        <v>0</v>
      </c>
      <c r="D111">
        <v>0</v>
      </c>
      <c r="F111" t="e">
        <f>VLOOKUP(A111,'Cost Price New'!D:I,6,0)</f>
        <v>#N/A</v>
      </c>
    </row>
    <row r="112" spans="1:7" hidden="1">
      <c r="A112" t="s">
        <v>204</v>
      </c>
      <c r="B112">
        <v>0</v>
      </c>
      <c r="C112">
        <v>0</v>
      </c>
      <c r="D112">
        <v>0</v>
      </c>
      <c r="F112" t="e">
        <f>VLOOKUP(A112,'Cost Price New'!D:I,6,0)</f>
        <v>#N/A</v>
      </c>
    </row>
    <row r="113" spans="1:7" hidden="1">
      <c r="A113" t="s">
        <v>205</v>
      </c>
      <c r="B113">
        <v>0</v>
      </c>
      <c r="C113">
        <v>101.82016</v>
      </c>
      <c r="D113">
        <v>0</v>
      </c>
      <c r="F113" t="e">
        <f>VLOOKUP(A113,'Cost Price New'!D:I,6,0)</f>
        <v>#N/A</v>
      </c>
    </row>
    <row r="114" spans="1:7" hidden="1">
      <c r="A114" t="s">
        <v>206</v>
      </c>
      <c r="B114">
        <v>0</v>
      </c>
      <c r="C114">
        <v>94.478170000000006</v>
      </c>
      <c r="D114">
        <v>0</v>
      </c>
      <c r="F114" t="e">
        <f>VLOOKUP(A114,'Cost Price New'!D:I,6,0)</f>
        <v>#N/A</v>
      </c>
    </row>
    <row r="115" spans="1:7" hidden="1">
      <c r="A115" t="s">
        <v>207</v>
      </c>
      <c r="B115">
        <v>0</v>
      </c>
      <c r="C115">
        <v>95.409490000000005</v>
      </c>
      <c r="D115">
        <v>0</v>
      </c>
      <c r="F115" t="e">
        <f>VLOOKUP(A115,'Cost Price New'!D:I,6,0)</f>
        <v>#N/A</v>
      </c>
    </row>
    <row r="116" spans="1:7" hidden="1">
      <c r="A116" t="s">
        <v>208</v>
      </c>
      <c r="B116">
        <v>0</v>
      </c>
      <c r="C116">
        <v>34.138440000000003</v>
      </c>
      <c r="D116">
        <v>0</v>
      </c>
      <c r="F116" t="e">
        <f>VLOOKUP(A116,'Cost Price New'!D:I,6,0)</f>
        <v>#N/A</v>
      </c>
    </row>
    <row r="117" spans="1:7" hidden="1">
      <c r="A117" t="s">
        <v>209</v>
      </c>
      <c r="B117">
        <v>0</v>
      </c>
      <c r="C117">
        <v>74.544960000000003</v>
      </c>
      <c r="D117">
        <v>0</v>
      </c>
      <c r="F117" t="e">
        <f>VLOOKUP(A117,'Cost Price New'!D:I,6,0)</f>
        <v>#N/A</v>
      </c>
    </row>
    <row r="118" spans="1:7" hidden="1">
      <c r="A118" t="s">
        <v>210</v>
      </c>
      <c r="B118">
        <v>0</v>
      </c>
      <c r="C118">
        <v>27.361319999999999</v>
      </c>
      <c r="D118">
        <v>0</v>
      </c>
      <c r="F118" t="e">
        <f>VLOOKUP(A118,'Cost Price New'!D:I,6,0)</f>
        <v>#N/A</v>
      </c>
    </row>
    <row r="119" spans="1:7" hidden="1">
      <c r="A119" t="s">
        <v>211</v>
      </c>
      <c r="B119">
        <v>0</v>
      </c>
      <c r="C119">
        <v>50.721319999999999</v>
      </c>
      <c r="D119">
        <v>0</v>
      </c>
      <c r="F119" t="e">
        <f>VLOOKUP(A119,'Cost Price New'!D:I,6,0)</f>
        <v>#N/A</v>
      </c>
    </row>
    <row r="120" spans="1:7" hidden="1">
      <c r="A120" t="s">
        <v>212</v>
      </c>
      <c r="B120">
        <v>0</v>
      </c>
      <c r="C120">
        <v>18.361319999999999</v>
      </c>
      <c r="D120">
        <v>0</v>
      </c>
      <c r="F120" t="e">
        <f>VLOOKUP(A120,'Cost Price New'!D:I,6,0)</f>
        <v>#N/A</v>
      </c>
    </row>
    <row r="121" spans="1:7" hidden="1">
      <c r="A121" t="s">
        <v>213</v>
      </c>
      <c r="B121">
        <v>0</v>
      </c>
      <c r="C121">
        <v>29.63298</v>
      </c>
      <c r="D121">
        <v>0</v>
      </c>
      <c r="F121" t="e">
        <f>VLOOKUP(A121,'Cost Price New'!D:I,6,0)</f>
        <v>#N/A</v>
      </c>
    </row>
    <row r="122" spans="1:7" hidden="1">
      <c r="A122" t="s">
        <v>214</v>
      </c>
      <c r="B122">
        <v>0</v>
      </c>
      <c r="C122">
        <v>61.584820000000001</v>
      </c>
      <c r="D122">
        <v>0</v>
      </c>
      <c r="F122" t="e">
        <f>VLOOKUP(A122,'Cost Price New'!D:I,6,0)</f>
        <v>#N/A</v>
      </c>
    </row>
    <row r="123" spans="1:7" hidden="1">
      <c r="A123" t="s">
        <v>215</v>
      </c>
      <c r="B123">
        <v>0</v>
      </c>
      <c r="C123">
        <v>106.81713000000001</v>
      </c>
      <c r="D123">
        <v>0</v>
      </c>
      <c r="F123" t="e">
        <f>VLOOKUP(A123,'Cost Price New'!D:I,6,0)</f>
        <v>#N/A</v>
      </c>
    </row>
    <row r="124" spans="1:7" hidden="1">
      <c r="A124" t="s">
        <v>216</v>
      </c>
      <c r="B124">
        <v>0</v>
      </c>
      <c r="C124">
        <v>34.141660000000002</v>
      </c>
      <c r="D124">
        <v>0</v>
      </c>
      <c r="F124" t="e">
        <f>VLOOKUP(A124,'Cost Price New'!D:I,6,0)</f>
        <v>#N/A</v>
      </c>
    </row>
    <row r="125" spans="1:7" hidden="1">
      <c r="A125" t="s">
        <v>217</v>
      </c>
      <c r="B125">
        <v>0</v>
      </c>
      <c r="C125">
        <v>74.548860000000005</v>
      </c>
      <c r="D125">
        <v>0</v>
      </c>
      <c r="F125" t="e">
        <f>VLOOKUP(A125,'Cost Price New'!D:I,6,0)</f>
        <v>#N/A</v>
      </c>
    </row>
    <row r="126" spans="1:7" hidden="1">
      <c r="A126" t="s">
        <v>218</v>
      </c>
      <c r="B126">
        <v>0</v>
      </c>
      <c r="C126">
        <v>124.54369</v>
      </c>
      <c r="D126">
        <v>0</v>
      </c>
      <c r="F126" t="e">
        <f>VLOOKUP(A126,'Cost Price New'!D:I,6,0)</f>
        <v>#N/A</v>
      </c>
    </row>
    <row r="127" spans="1:7" hidden="1">
      <c r="A127" t="s">
        <v>219</v>
      </c>
      <c r="B127">
        <v>0</v>
      </c>
      <c r="C127">
        <v>107.08766</v>
      </c>
      <c r="D127">
        <v>0</v>
      </c>
      <c r="F127" t="e">
        <f>VLOOKUP(A127,'Cost Price New'!D:I,6,0)</f>
        <v>#N/A</v>
      </c>
    </row>
    <row r="128" spans="1:7">
      <c r="A128" t="s">
        <v>220</v>
      </c>
      <c r="B128">
        <v>0</v>
      </c>
      <c r="C128">
        <v>3.72</v>
      </c>
      <c r="D128">
        <v>0</v>
      </c>
      <c r="F128">
        <f>VLOOKUP(A128,'Cost Price New'!D:I,6,0)</f>
        <v>3.72</v>
      </c>
      <c r="G128" t="b">
        <f t="shared" ref="G128:G129" si="9">F128=C128</f>
        <v>1</v>
      </c>
    </row>
    <row r="129" spans="1:7">
      <c r="A129" t="s">
        <v>222</v>
      </c>
      <c r="B129">
        <v>0</v>
      </c>
      <c r="C129">
        <v>2.65</v>
      </c>
      <c r="D129">
        <v>0</v>
      </c>
      <c r="F129">
        <f>VLOOKUP(A129,'Cost Price New'!D:I,6,0)</f>
        <v>2.65</v>
      </c>
      <c r="G129" t="b">
        <f t="shared" si="9"/>
        <v>1</v>
      </c>
    </row>
    <row r="130" spans="1:7" hidden="1">
      <c r="A130" t="s">
        <v>224</v>
      </c>
      <c r="B130">
        <v>0</v>
      </c>
      <c r="C130">
        <v>77.185680000000005</v>
      </c>
      <c r="D130">
        <v>0</v>
      </c>
      <c r="F130" t="e">
        <f>VLOOKUP(A130,'Cost Price New'!D:I,6,0)</f>
        <v>#N/A</v>
      </c>
    </row>
    <row r="131" spans="1:7" hidden="1">
      <c r="A131" t="s">
        <v>225</v>
      </c>
      <c r="B131">
        <v>0</v>
      </c>
      <c r="C131">
        <v>20.58765</v>
      </c>
      <c r="D131">
        <v>0</v>
      </c>
      <c r="F131" t="e">
        <f>VLOOKUP(A131,'Cost Price New'!D:I,6,0)</f>
        <v>#N/A</v>
      </c>
    </row>
    <row r="132" spans="1:7" hidden="1">
      <c r="A132" t="s">
        <v>226</v>
      </c>
      <c r="B132">
        <v>0</v>
      </c>
      <c r="C132">
        <v>11.711320000000001</v>
      </c>
      <c r="D132">
        <v>0</v>
      </c>
      <c r="F132" t="e">
        <f>VLOOKUP(A132,'Cost Price New'!D:I,6,0)</f>
        <v>#N/A</v>
      </c>
    </row>
    <row r="133" spans="1:7" hidden="1">
      <c r="A133" t="s">
        <v>227</v>
      </c>
      <c r="B133">
        <v>0</v>
      </c>
      <c r="C133">
        <v>57.007820000000002</v>
      </c>
      <c r="D133">
        <v>0</v>
      </c>
      <c r="F133" t="e">
        <f>VLOOKUP(A133,'Cost Price New'!D:I,6,0)</f>
        <v>#N/A</v>
      </c>
    </row>
    <row r="134" spans="1:7" hidden="1">
      <c r="A134" t="s">
        <v>229</v>
      </c>
      <c r="B134">
        <v>0</v>
      </c>
      <c r="C134">
        <v>0</v>
      </c>
      <c r="D134">
        <v>0</v>
      </c>
      <c r="F134" t="e">
        <f>VLOOKUP(A134,'Cost Price New'!D:I,6,0)</f>
        <v>#N/A</v>
      </c>
    </row>
    <row r="135" spans="1:7" hidden="1">
      <c r="A135" t="s">
        <v>230</v>
      </c>
      <c r="B135">
        <v>0</v>
      </c>
      <c r="C135">
        <v>0</v>
      </c>
      <c r="D135">
        <v>0</v>
      </c>
      <c r="F135" t="e">
        <f>VLOOKUP(A135,'Cost Price New'!D:I,6,0)</f>
        <v>#N/A</v>
      </c>
    </row>
    <row r="136" spans="1:7">
      <c r="A136" t="s">
        <v>496</v>
      </c>
      <c r="B136">
        <v>0</v>
      </c>
      <c r="C136">
        <v>4.3E-3</v>
      </c>
      <c r="D136">
        <v>0</v>
      </c>
      <c r="F136">
        <f>VLOOKUP(A136,'Cost Price New'!D:I,6,0)</f>
        <v>4.3E-3</v>
      </c>
      <c r="G136" t="b">
        <f>F136=C136</f>
        <v>1</v>
      </c>
    </row>
    <row r="137" spans="1:7" hidden="1">
      <c r="A137" t="s">
        <v>231</v>
      </c>
      <c r="B137">
        <v>0</v>
      </c>
      <c r="C137">
        <v>0</v>
      </c>
      <c r="D137">
        <v>0</v>
      </c>
      <c r="F137" t="e">
        <f>VLOOKUP(A137,'Cost Price New'!D:I,6,0)</f>
        <v>#N/A</v>
      </c>
    </row>
    <row r="138" spans="1:7" hidden="1">
      <c r="A138" t="s">
        <v>232</v>
      </c>
      <c r="B138">
        <v>0</v>
      </c>
      <c r="C138">
        <v>0</v>
      </c>
      <c r="D138">
        <v>0</v>
      </c>
      <c r="F138" t="e">
        <f>VLOOKUP(A138,'Cost Price New'!D:I,6,0)</f>
        <v>#N/A</v>
      </c>
    </row>
    <row r="139" spans="1:7" hidden="1">
      <c r="A139" t="s">
        <v>233</v>
      </c>
      <c r="B139">
        <v>0</v>
      </c>
      <c r="C139">
        <v>0</v>
      </c>
      <c r="D139">
        <v>0</v>
      </c>
      <c r="F139" t="e">
        <f>VLOOKUP(A139,'Cost Price New'!D:I,6,0)</f>
        <v>#N/A</v>
      </c>
    </row>
    <row r="140" spans="1:7">
      <c r="A140" t="s">
        <v>234</v>
      </c>
      <c r="B140">
        <v>0</v>
      </c>
      <c r="C140">
        <v>8.08</v>
      </c>
      <c r="D140">
        <v>0</v>
      </c>
      <c r="F140">
        <f>VLOOKUP(A140,'Cost Price New'!D:I,6,0)</f>
        <v>8.08</v>
      </c>
      <c r="G140" t="b">
        <f t="shared" ref="G140:G141" si="10">F140=C140</f>
        <v>1</v>
      </c>
    </row>
    <row r="141" spans="1:7">
      <c r="A141" t="s">
        <v>237</v>
      </c>
      <c r="B141">
        <v>0</v>
      </c>
      <c r="C141">
        <v>6.06</v>
      </c>
      <c r="D141">
        <v>0</v>
      </c>
      <c r="F141">
        <f>VLOOKUP(A141,'Cost Price New'!D:I,6,0)</f>
        <v>6.06</v>
      </c>
      <c r="G141" t="b">
        <f t="shared" si="10"/>
        <v>1</v>
      </c>
    </row>
    <row r="142" spans="1:7" hidden="1">
      <c r="A142" t="s">
        <v>804</v>
      </c>
      <c r="B142">
        <v>0</v>
      </c>
      <c r="C142">
        <v>0</v>
      </c>
      <c r="D142">
        <v>0</v>
      </c>
      <c r="F142" t="e">
        <f>VLOOKUP(A142,'Cost Price New'!D:I,6,0)</f>
        <v>#N/A</v>
      </c>
    </row>
    <row r="143" spans="1:7" hidden="1">
      <c r="A143" t="s">
        <v>239</v>
      </c>
      <c r="B143">
        <v>0</v>
      </c>
      <c r="C143">
        <v>0.14785000000000001</v>
      </c>
      <c r="D143">
        <v>0</v>
      </c>
      <c r="F143" t="e">
        <f>VLOOKUP(A143,'Cost Price New'!D:I,6,0)</f>
        <v>#N/A</v>
      </c>
    </row>
    <row r="144" spans="1:7" hidden="1">
      <c r="A144" t="s">
        <v>242</v>
      </c>
      <c r="B144">
        <v>0</v>
      </c>
      <c r="C144">
        <v>2.56169</v>
      </c>
      <c r="D144">
        <v>0</v>
      </c>
      <c r="F144" t="e">
        <f>VLOOKUP(A144,'Cost Price New'!D:I,6,0)</f>
        <v>#N/A</v>
      </c>
    </row>
    <row r="145" spans="1:7" hidden="1">
      <c r="A145" t="s">
        <v>244</v>
      </c>
      <c r="B145">
        <v>0</v>
      </c>
      <c r="C145">
        <v>2.6282399999999999</v>
      </c>
      <c r="D145">
        <v>0</v>
      </c>
      <c r="F145" t="e">
        <f>VLOOKUP(A145,'Cost Price New'!D:I,6,0)</f>
        <v>#N/A</v>
      </c>
    </row>
    <row r="146" spans="1:7" hidden="1">
      <c r="A146" t="s">
        <v>246</v>
      </c>
      <c r="B146">
        <v>0</v>
      </c>
      <c r="C146">
        <v>0.25602999999999998</v>
      </c>
      <c r="D146">
        <v>0</v>
      </c>
      <c r="F146" t="e">
        <f>VLOOKUP(A146,'Cost Price New'!D:I,6,0)</f>
        <v>#N/A</v>
      </c>
    </row>
    <row r="147" spans="1:7" hidden="1">
      <c r="A147" t="s">
        <v>248</v>
      </c>
      <c r="B147">
        <v>0</v>
      </c>
      <c r="C147">
        <v>12.36159</v>
      </c>
      <c r="D147">
        <v>0</v>
      </c>
      <c r="F147" t="e">
        <f>VLOOKUP(A147,'Cost Price New'!D:I,6,0)</f>
        <v>#N/A</v>
      </c>
    </row>
    <row r="148" spans="1:7">
      <c r="A148" t="s">
        <v>250</v>
      </c>
      <c r="B148">
        <v>0</v>
      </c>
      <c r="C148">
        <v>2.2000000000000002</v>
      </c>
      <c r="D148">
        <v>0</v>
      </c>
      <c r="F148">
        <f>VLOOKUP(A148,'Cost Price New'!D:I,6,0)</f>
        <v>2.2000000000000002</v>
      </c>
      <c r="G148" t="b">
        <f t="shared" ref="G148:G150" si="11">F148=C148</f>
        <v>1</v>
      </c>
    </row>
    <row r="149" spans="1:7">
      <c r="A149" t="s">
        <v>252</v>
      </c>
      <c r="B149">
        <v>3.2</v>
      </c>
      <c r="C149">
        <v>3.1</v>
      </c>
      <c r="D149">
        <v>0</v>
      </c>
      <c r="F149">
        <f>VLOOKUP(A149,'Cost Price New'!D:I,6,0)</f>
        <v>3.1</v>
      </c>
      <c r="G149" t="b">
        <f t="shared" si="11"/>
        <v>1</v>
      </c>
    </row>
    <row r="150" spans="1:7">
      <c r="A150" t="s">
        <v>497</v>
      </c>
      <c r="B150">
        <v>0</v>
      </c>
      <c r="C150">
        <v>1.23</v>
      </c>
      <c r="D150">
        <v>0</v>
      </c>
      <c r="F150">
        <f>VLOOKUP(A150,'Cost Price New'!D:I,6,0)</f>
        <v>1.23</v>
      </c>
      <c r="G150" t="b">
        <f t="shared" si="11"/>
        <v>1</v>
      </c>
    </row>
    <row r="151" spans="1:7" hidden="1">
      <c r="A151" t="s">
        <v>254</v>
      </c>
      <c r="B151">
        <v>0</v>
      </c>
      <c r="C151">
        <v>0</v>
      </c>
      <c r="D151">
        <v>0</v>
      </c>
      <c r="F151" t="e">
        <f>VLOOKUP(A151,'Cost Price New'!D:I,6,0)</f>
        <v>#N/A</v>
      </c>
    </row>
    <row r="152" spans="1:7">
      <c r="A152" t="s">
        <v>255</v>
      </c>
      <c r="B152">
        <v>0</v>
      </c>
      <c r="C152">
        <v>2.9</v>
      </c>
      <c r="D152">
        <v>0</v>
      </c>
      <c r="F152">
        <f>VLOOKUP(A152,'Cost Price New'!D:I,6,0)</f>
        <v>2.9</v>
      </c>
      <c r="G152" t="b">
        <f t="shared" ref="G152:G153" si="12">F152=C152</f>
        <v>1</v>
      </c>
    </row>
    <row r="153" spans="1:7">
      <c r="A153" t="s">
        <v>257</v>
      </c>
      <c r="B153">
        <v>0</v>
      </c>
      <c r="C153">
        <v>1.2</v>
      </c>
      <c r="D153">
        <v>0</v>
      </c>
      <c r="F153">
        <f>VLOOKUP(A153,'Cost Price New'!D:I,6,0)</f>
        <v>1.2</v>
      </c>
      <c r="G153" t="b">
        <f t="shared" si="12"/>
        <v>1</v>
      </c>
    </row>
    <row r="154" spans="1:7" hidden="1">
      <c r="A154" t="s">
        <v>259</v>
      </c>
      <c r="B154">
        <v>0</v>
      </c>
      <c r="C154">
        <v>0</v>
      </c>
      <c r="D154">
        <v>0</v>
      </c>
      <c r="F154" t="e">
        <f>VLOOKUP(A154,'Cost Price New'!D:I,6,0)</f>
        <v>#N/A</v>
      </c>
    </row>
    <row r="155" spans="1:7" hidden="1">
      <c r="A155" t="s">
        <v>261</v>
      </c>
      <c r="B155">
        <v>0</v>
      </c>
      <c r="C155">
        <v>0</v>
      </c>
      <c r="D155">
        <v>0</v>
      </c>
      <c r="F155" t="e">
        <f>VLOOKUP(A155,'Cost Price New'!D:I,6,0)</f>
        <v>#N/A</v>
      </c>
    </row>
    <row r="156" spans="1:7" hidden="1">
      <c r="A156" t="s">
        <v>265</v>
      </c>
      <c r="B156">
        <v>0</v>
      </c>
      <c r="C156">
        <v>0</v>
      </c>
      <c r="D156">
        <v>0</v>
      </c>
      <c r="F156" t="e">
        <f>VLOOKUP(A156,'Cost Price New'!D:I,6,0)</f>
        <v>#N/A</v>
      </c>
    </row>
    <row r="157" spans="1:7" hidden="1">
      <c r="A157" t="s">
        <v>266</v>
      </c>
      <c r="B157">
        <v>0</v>
      </c>
      <c r="C157">
        <v>0</v>
      </c>
      <c r="D157">
        <v>0</v>
      </c>
      <c r="F157" t="e">
        <f>VLOOKUP(A157,'Cost Price New'!D:I,6,0)</f>
        <v>#N/A</v>
      </c>
    </row>
    <row r="158" spans="1:7">
      <c r="A158" t="s">
        <v>267</v>
      </c>
      <c r="B158">
        <v>0</v>
      </c>
      <c r="C158">
        <v>9.5</v>
      </c>
      <c r="D158">
        <v>0</v>
      </c>
      <c r="F158">
        <f>VLOOKUP(A158,'Cost Price New'!D:I,6,0)</f>
        <v>9.5</v>
      </c>
      <c r="G158" t="b">
        <f>F158=C158</f>
        <v>1</v>
      </c>
    </row>
    <row r="159" spans="1:7" hidden="1">
      <c r="A159" t="s">
        <v>269</v>
      </c>
      <c r="B159">
        <v>0</v>
      </c>
      <c r="C159">
        <v>0</v>
      </c>
      <c r="D159">
        <v>0</v>
      </c>
      <c r="F159" t="e">
        <f>VLOOKUP(A159,'Cost Price New'!D:I,6,0)</f>
        <v>#N/A</v>
      </c>
    </row>
    <row r="160" spans="1:7" hidden="1">
      <c r="A160" t="s">
        <v>271</v>
      </c>
      <c r="B160">
        <v>0</v>
      </c>
      <c r="C160">
        <v>0</v>
      </c>
      <c r="D160">
        <v>0</v>
      </c>
      <c r="F160" t="e">
        <f>VLOOKUP(A160,'Cost Price New'!D:I,6,0)</f>
        <v>#N/A</v>
      </c>
    </row>
    <row r="161" spans="1:7" hidden="1">
      <c r="A161" t="s">
        <v>272</v>
      </c>
      <c r="B161">
        <v>0</v>
      </c>
      <c r="C161">
        <v>0</v>
      </c>
      <c r="D161">
        <v>0</v>
      </c>
      <c r="F161" t="e">
        <f>VLOOKUP(A161,'Cost Price New'!D:I,6,0)</f>
        <v>#N/A</v>
      </c>
    </row>
    <row r="162" spans="1:7" hidden="1">
      <c r="A162" t="s">
        <v>273</v>
      </c>
      <c r="B162">
        <v>0</v>
      </c>
      <c r="C162">
        <v>0</v>
      </c>
      <c r="D162">
        <v>0</v>
      </c>
      <c r="F162" t="e">
        <f>VLOOKUP(A162,'Cost Price New'!D:I,6,0)</f>
        <v>#N/A</v>
      </c>
    </row>
    <row r="163" spans="1:7">
      <c r="A163" t="s">
        <v>278</v>
      </c>
      <c r="B163">
        <v>0</v>
      </c>
      <c r="C163">
        <v>9.4500000000000001E-2</v>
      </c>
      <c r="D163">
        <v>0</v>
      </c>
      <c r="F163">
        <f>VLOOKUP(A163,'Cost Price New'!D:I,6,0)</f>
        <v>9.4500000000000001E-2</v>
      </c>
      <c r="G163" t="b">
        <f>F163=C163</f>
        <v>1</v>
      </c>
    </row>
    <row r="164" spans="1:7" hidden="1">
      <c r="A164" t="s">
        <v>280</v>
      </c>
      <c r="B164">
        <v>0</v>
      </c>
      <c r="C164">
        <v>0</v>
      </c>
      <c r="D164">
        <v>0</v>
      </c>
      <c r="F164" t="e">
        <f>VLOOKUP(A164,'Cost Price New'!D:I,6,0)</f>
        <v>#N/A</v>
      </c>
    </row>
    <row r="165" spans="1:7" hidden="1">
      <c r="A165" t="s">
        <v>281</v>
      </c>
      <c r="B165">
        <v>0</v>
      </c>
      <c r="C165">
        <v>0</v>
      </c>
      <c r="D165">
        <v>0</v>
      </c>
      <c r="F165" t="e">
        <f>VLOOKUP(A165,'Cost Price New'!D:I,6,0)</f>
        <v>#N/A</v>
      </c>
    </row>
    <row r="166" spans="1:7" hidden="1">
      <c r="A166" t="s">
        <v>282</v>
      </c>
      <c r="B166">
        <v>0</v>
      </c>
      <c r="C166">
        <v>0</v>
      </c>
      <c r="D166">
        <v>0</v>
      </c>
      <c r="F166" t="e">
        <f>VLOOKUP(A166,'Cost Price New'!D:I,6,0)</f>
        <v>#N/A</v>
      </c>
    </row>
    <row r="167" spans="1:7" hidden="1">
      <c r="A167" t="s">
        <v>283</v>
      </c>
      <c r="B167">
        <v>0</v>
      </c>
      <c r="C167">
        <v>0</v>
      </c>
      <c r="D167">
        <v>0</v>
      </c>
      <c r="F167" t="e">
        <f>VLOOKUP(A167,'Cost Price New'!D:I,6,0)</f>
        <v>#N/A</v>
      </c>
    </row>
    <row r="168" spans="1:7" hidden="1">
      <c r="A168" t="s">
        <v>287</v>
      </c>
      <c r="B168">
        <v>0</v>
      </c>
      <c r="C168">
        <v>0</v>
      </c>
      <c r="D168">
        <v>0</v>
      </c>
      <c r="F168" t="e">
        <f>VLOOKUP(A168,'Cost Price New'!D:I,6,0)</f>
        <v>#N/A</v>
      </c>
    </row>
    <row r="169" spans="1:7" hidden="1">
      <c r="A169" t="s">
        <v>289</v>
      </c>
      <c r="B169">
        <v>0</v>
      </c>
      <c r="C169">
        <v>0</v>
      </c>
      <c r="D169">
        <v>0</v>
      </c>
      <c r="F169" t="e">
        <f>VLOOKUP(A169,'Cost Price New'!D:I,6,0)</f>
        <v>#N/A</v>
      </c>
    </row>
    <row r="170" spans="1:7" hidden="1">
      <c r="A170" t="s">
        <v>291</v>
      </c>
      <c r="B170">
        <v>0</v>
      </c>
      <c r="C170">
        <v>0</v>
      </c>
      <c r="D170">
        <v>0</v>
      </c>
      <c r="F170" t="e">
        <f>VLOOKUP(A170,'Cost Price New'!D:I,6,0)</f>
        <v>#N/A</v>
      </c>
    </row>
    <row r="171" spans="1:7" hidden="1">
      <c r="A171" t="s">
        <v>295</v>
      </c>
      <c r="B171">
        <v>0</v>
      </c>
      <c r="C171">
        <v>0</v>
      </c>
      <c r="D171">
        <v>0</v>
      </c>
      <c r="F171" t="e">
        <f>VLOOKUP(A171,'Cost Price New'!D:I,6,0)</f>
        <v>#N/A</v>
      </c>
    </row>
    <row r="172" spans="1:7" hidden="1">
      <c r="A172" t="s">
        <v>298</v>
      </c>
      <c r="B172">
        <v>0</v>
      </c>
      <c r="C172">
        <v>0</v>
      </c>
      <c r="D172">
        <v>0</v>
      </c>
      <c r="F172" t="e">
        <f>VLOOKUP(A172,'Cost Price New'!D:I,6,0)</f>
        <v>#N/A</v>
      </c>
    </row>
    <row r="173" spans="1:7" hidden="1">
      <c r="A173" t="s">
        <v>300</v>
      </c>
      <c r="B173">
        <v>0</v>
      </c>
      <c r="C173">
        <v>0</v>
      </c>
      <c r="D173">
        <v>0</v>
      </c>
      <c r="F173" t="e">
        <f>VLOOKUP(A173,'Cost Price New'!D:I,6,0)</f>
        <v>#N/A</v>
      </c>
    </row>
    <row r="174" spans="1:7" hidden="1">
      <c r="A174" t="s">
        <v>301</v>
      </c>
      <c r="B174">
        <v>0</v>
      </c>
      <c r="C174">
        <v>0</v>
      </c>
      <c r="D174">
        <v>0</v>
      </c>
      <c r="F174" t="e">
        <f>VLOOKUP(A174,'Cost Price New'!D:I,6,0)</f>
        <v>#N/A</v>
      </c>
    </row>
  </sheetData>
  <autoFilter ref="A1:EY174">
    <filterColumn colId="5">
      <filters>
        <filter val="0.0043"/>
        <filter val="0.032"/>
        <filter val="0.035"/>
        <filter val="0.0575"/>
        <filter val="0.0945"/>
        <filter val="0.1"/>
        <filter val="0.2311"/>
        <filter val="0.375"/>
        <filter val="0.452"/>
        <filter val="1.2"/>
        <filter val="1.23"/>
        <filter val="1.91"/>
        <filter val="11.13"/>
        <filter val="11.16"/>
        <filter val="14.15"/>
        <filter val="14.65"/>
        <filter val="17.54"/>
        <filter val="2.2"/>
        <filter val="2.4"/>
        <filter val="2.54"/>
        <filter val="2.65"/>
        <filter val="2.9"/>
        <filter val="2.93"/>
        <filter val="2.948"/>
        <filter val="24.4"/>
        <filter val="26.4"/>
        <filter val="3.1"/>
        <filter val="3.49"/>
        <filter val="3.72"/>
        <filter val="35.75"/>
        <filter val="4.7"/>
        <filter val="4.98"/>
        <filter val="40.9"/>
        <filter val="491.0662404"/>
        <filter val="6.06"/>
        <filter val="6.3"/>
        <filter val="8.04"/>
        <filter val="8.08"/>
        <filter val="8.5"/>
        <filter val="8.54"/>
        <filter val="9.32"/>
        <filter val="9.5"/>
        <filter val="9.7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RowHeight="14.25"/>
  <sheetData>
    <row r="1" spans="1:2" ht="15" thickBot="1">
      <c r="A1" t="s">
        <v>702</v>
      </c>
    </row>
    <row r="2" spans="1:2" ht="16.5" customHeight="1" thickBot="1">
      <c r="A2" s="173" t="s">
        <v>216</v>
      </c>
      <c r="B2">
        <f>SUMIF('Original cost price list'!B:B,'Products price validation'!A2,'Original cost price list'!I:I)</f>
        <v>2.6477450980392159</v>
      </c>
    </row>
    <row r="3" spans="1:2" ht="16.5" customHeight="1" thickBot="1">
      <c r="A3" s="173" t="s">
        <v>208</v>
      </c>
      <c r="B3">
        <f>SUMIF('Original cost price list'!B:B,'Products price validation'!A3,'Original cost price list'!I:I)</f>
        <v>3.1254630454140697</v>
      </c>
    </row>
    <row r="4" spans="1:2" ht="15.75" thickBot="1">
      <c r="A4" s="173" t="s">
        <v>227</v>
      </c>
      <c r="B4">
        <f>SUMIF('Original cost price list'!B:B,'Products price validation'!A4,'Original cost price list'!I:I)</f>
        <v>1.5802400000000001</v>
      </c>
    </row>
    <row r="5" spans="1:2" ht="15.75" thickBot="1">
      <c r="A5" s="173" t="s">
        <v>205</v>
      </c>
      <c r="B5">
        <f>SUMIF('Original cost price list'!B:B,'Products price validation'!A5,'Original cost price list'!I:I)</f>
        <v>1.1319240379810096</v>
      </c>
    </row>
    <row r="6" spans="1:2" ht="15.75" thickBot="1">
      <c r="A6" s="173" t="s">
        <v>210</v>
      </c>
      <c r="B6">
        <f>SUMIF('Original cost price list'!B:B,'Products price validation'!A6,'Original cost price list'!I:I)</f>
        <v>8.18</v>
      </c>
    </row>
    <row r="7" spans="1:2" ht="15.75" thickBot="1">
      <c r="A7" s="173" t="s">
        <v>214</v>
      </c>
      <c r="B7">
        <f>SUMIF('Original cost price list'!B:B,'Products price validation'!A7,'Original cost price list'!I:I)</f>
        <v>4.1358000000000006</v>
      </c>
    </row>
    <row r="8" spans="1:2" ht="15.75" thickBot="1">
      <c r="A8" s="173" t="s">
        <v>219</v>
      </c>
      <c r="B8">
        <f>SUMIF('Original cost price list'!B:B,'Products price validation'!A8,'Original cost price list'!I:I)</f>
        <v>2.959613464246079</v>
      </c>
    </row>
    <row r="9" spans="1:2" ht="15" thickBot="1">
      <c r="A9" s="220" t="s">
        <v>196</v>
      </c>
      <c r="B9">
        <f>SUMIF('Original cost price list'!B:B,'Products price validation'!A9,'Original cost price list'!I:I)</f>
        <v>1.43</v>
      </c>
    </row>
    <row r="10" spans="1:2" ht="15" thickBot="1">
      <c r="A10" s="220" t="s">
        <v>61</v>
      </c>
      <c r="B10">
        <f>SUMIF('Original cost price list'!B:B,'Products price validation'!A10,'Original cost price list'!I:I)</f>
        <v>0.97887075999999995</v>
      </c>
    </row>
    <row r="11" spans="1:2" ht="15" thickBot="1">
      <c r="A11" s="220" t="s">
        <v>106</v>
      </c>
      <c r="B11">
        <f>SUMIF('Original cost price list'!B:B,'Products price validation'!A11,'Original cost price list'!I:I)</f>
        <v>1.2</v>
      </c>
    </row>
    <row r="12" spans="1:2" ht="15" thickBot="1">
      <c r="A12" s="220" t="s">
        <v>225</v>
      </c>
      <c r="B12">
        <f>SUMIF('Original cost price list'!B:B,'Products price validation'!A12,'Original cost price list'!I:I)</f>
        <v>9.4500000000000001E-2</v>
      </c>
    </row>
    <row r="13" spans="1:2" ht="15.75" thickBot="1">
      <c r="A13" s="173" t="s">
        <v>149</v>
      </c>
      <c r="B13">
        <f>SUMIF('Original cost price list'!B:B,'Products price validation'!A13,'Original cost price list'!I:I)</f>
        <v>7.2178950483330034E-2</v>
      </c>
    </row>
    <row r="14" spans="1:2" ht="15.75" thickBot="1">
      <c r="A14" s="173" t="s">
        <v>155</v>
      </c>
      <c r="B14">
        <f>SUMIF('Original cost price list'!B:B,'Products price validation'!A14,'Original cost price list'!I:I)</f>
        <v>7.2178950483330034E-2</v>
      </c>
    </row>
    <row r="15" spans="1:2" ht="15.75" thickBot="1">
      <c r="A15" s="173" t="s">
        <v>152</v>
      </c>
      <c r="B15">
        <f>SUMIF('Original cost price list'!B:B,'Products price validation'!A15,'Original cost price list'!I:I)</f>
        <v>7.6727667186124809E-2</v>
      </c>
    </row>
    <row r="16" spans="1:2" ht="15.75" thickBot="1">
      <c r="A16" s="173" t="s">
        <v>154</v>
      </c>
      <c r="B16">
        <f>SUMIF('Original cost price list'!B:B,'Products price validation'!A16,'Original cost price list'!I:I)</f>
        <v>6.4509084849061996E-2</v>
      </c>
    </row>
    <row r="17" spans="1:2" ht="15.75" thickBot="1">
      <c r="A17" s="173" t="s">
        <v>163</v>
      </c>
      <c r="B17">
        <f>SUMIF('Original cost price list'!B:B,'Products price validation'!A17,'Original cost price list'!I:I)</f>
        <v>0.11049139613781302</v>
      </c>
    </row>
    <row r="18" spans="1:2" ht="15.75" thickBot="1">
      <c r="A18" s="173" t="s">
        <v>158</v>
      </c>
      <c r="B18">
        <f>SUMIF('Original cost price list'!B:B,'Products price validation'!A18,'Original cost price list'!I:I)</f>
        <v>9.3666751306851717E-2</v>
      </c>
    </row>
    <row r="19" spans="1:2" ht="15.75" thickBot="1">
      <c r="A19" s="173" t="s">
        <v>159</v>
      </c>
      <c r="B19">
        <f>SUMIF('Original cost price list'!B:B,'Products price validation'!A19,'Original cost price list'!I:I)</f>
        <v>0.14847073346712203</v>
      </c>
    </row>
    <row r="20" spans="1:2" ht="15.75" thickBot="1">
      <c r="A20" s="173" t="s">
        <v>156</v>
      </c>
      <c r="B20">
        <f>SUMIF('Original cost price list'!B:B,'Products price validation'!A20,'Original cost price list'!I:I)</f>
        <v>8.9863095116829883E-2</v>
      </c>
    </row>
    <row r="21" spans="1:2" ht="15.75" thickBot="1">
      <c r="A21" s="173" t="s">
        <v>157</v>
      </c>
      <c r="B21">
        <f>SUMIF('Original cost price list'!B:B,'Products price validation'!A21,'Original cost price list'!I:I)</f>
        <v>0.11936911548241508</v>
      </c>
    </row>
    <row r="22" spans="1:2" ht="15" thickBot="1">
      <c r="A22" s="220" t="s">
        <v>162</v>
      </c>
      <c r="B22">
        <f>SUMIF('Original cost price list'!B:B,'Products price validation'!A22,'Original cost price list'!I:I)</f>
        <v>0.57634249051437958</v>
      </c>
    </row>
    <row r="23" spans="1:2" ht="15" thickBot="1">
      <c r="A23" s="220" t="s">
        <v>153</v>
      </c>
      <c r="B23">
        <f>SUMIF('Original cost price list'!B:B,'Products price validation'!A23,'Original cost price list'!I:I)</f>
        <v>0.16454701569214297</v>
      </c>
    </row>
    <row r="24" spans="1:2" ht="15" thickBot="1">
      <c r="A24" s="220" t="s">
        <v>151</v>
      </c>
      <c r="B24">
        <f>SUMIF('Original cost price list'!B:B,'Products price validation'!A24,'Original cost price list'!I:I)</f>
        <v>0.12414857792946528</v>
      </c>
    </row>
    <row r="25" spans="1:2" ht="15" thickBot="1">
      <c r="A25" s="220" t="s">
        <v>160</v>
      </c>
      <c r="B25">
        <f>SUMIF('Original cost price list'!B:B,'Products price validation'!A25,'Original cost price list'!I:I)</f>
        <v>0.14640111648678825</v>
      </c>
    </row>
    <row r="26" spans="1:2" ht="15" thickBot="1">
      <c r="A26" s="220" t="s">
        <v>161</v>
      </c>
      <c r="B26">
        <f>SUMIF('Original cost price list'!B:B,'Products price validation'!A26,'Original cost price list'!I:I)</f>
        <v>0.20967623204218949</v>
      </c>
    </row>
    <row r="27" spans="1:2" ht="15" thickBot="1">
      <c r="A27" s="220" t="s">
        <v>130</v>
      </c>
      <c r="B27">
        <f>SUMIF('Original cost price list'!B:B,'Products price validation'!A27,'Original cost price list'!I:I)</f>
        <v>0.60927039716765752</v>
      </c>
    </row>
    <row r="28" spans="1:2" ht="15" thickBot="1">
      <c r="A28" s="220" t="s">
        <v>132</v>
      </c>
      <c r="B28">
        <f>SUMIF('Original cost price list'!B:B,'Products price validation'!A28,'Original cost price list'!I:I)</f>
        <v>0.23470166452623334</v>
      </c>
    </row>
    <row r="29" spans="1:2" ht="15" thickBot="1">
      <c r="A29" s="220" t="s">
        <v>239</v>
      </c>
      <c r="B29">
        <f>SUMIF('Original cost price list'!B:B,'Products price validation'!A29,'Original cost price list'!I:I)</f>
        <v>3.1328770609715613</v>
      </c>
    </row>
    <row r="30" spans="1:2" ht="15" thickBot="1">
      <c r="A30" s="220" t="s">
        <v>242</v>
      </c>
      <c r="B30">
        <f>SUMIF('Original cost price list'!B:B,'Products price validation'!A30,'Original cost price list'!I:I)</f>
        <v>2.8574917167861131</v>
      </c>
    </row>
    <row r="31" spans="1:2" ht="15" thickBot="1">
      <c r="A31" s="220" t="s">
        <v>244</v>
      </c>
      <c r="B31">
        <f>SUMIF('Original cost price list'!B:B,'Products price validation'!A31,'Original cost price list'!I:I)</f>
        <v>2.7209002527707562</v>
      </c>
    </row>
    <row r="32" spans="1:2" ht="15.75" thickBot="1">
      <c r="A32" s="173" t="s">
        <v>246</v>
      </c>
      <c r="B32">
        <f>SUMIF('Original cost price list'!B:B,'Products price validation'!A32,'Original cost price list'!I:I)</f>
        <v>1.5553549889135256</v>
      </c>
    </row>
    <row r="33" spans="1:2" ht="15">
      <c r="A33" s="173" t="s">
        <v>248</v>
      </c>
      <c r="B33">
        <f>SUMIF('Original cost price list'!B:B,'Products price validation'!A33,'Original cost price list'!I:I)</f>
        <v>12.361538461538462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9"/>
  <sheetViews>
    <sheetView workbookViewId="0">
      <selection activeCell="I20" sqref="I20"/>
    </sheetView>
  </sheetViews>
  <sheetFormatPr defaultRowHeight="12.75"/>
  <cols>
    <col min="1" max="1" width="10" style="172" customWidth="1"/>
    <col min="2" max="2" width="9.375" style="172" customWidth="1"/>
    <col min="3" max="3" width="22.875" style="172" customWidth="1"/>
    <col min="4" max="4" width="12.75" style="172" customWidth="1"/>
    <col min="5" max="5" width="14.125" style="172" customWidth="1"/>
    <col min="6" max="6" width="15" style="172" customWidth="1"/>
    <col min="7" max="257" width="10" style="172" customWidth="1"/>
    <col min="258" max="258" width="9.375" style="172" customWidth="1"/>
    <col min="259" max="259" width="22.875" style="172" customWidth="1"/>
    <col min="260" max="260" width="12.75" style="172" customWidth="1"/>
    <col min="261" max="261" width="14.125" style="172" customWidth="1"/>
    <col min="262" max="262" width="15" style="172" customWidth="1"/>
    <col min="263" max="513" width="10" style="172" customWidth="1"/>
    <col min="514" max="514" width="9.375" style="172" customWidth="1"/>
    <col min="515" max="515" width="22.875" style="172" customWidth="1"/>
    <col min="516" max="516" width="12.75" style="172" customWidth="1"/>
    <col min="517" max="517" width="14.125" style="172" customWidth="1"/>
    <col min="518" max="518" width="15" style="172" customWidth="1"/>
    <col min="519" max="769" width="10" style="172" customWidth="1"/>
    <col min="770" max="770" width="9.375" style="172" customWidth="1"/>
    <col min="771" max="771" width="22.875" style="172" customWidth="1"/>
    <col min="772" max="772" width="12.75" style="172" customWidth="1"/>
    <col min="773" max="773" width="14.125" style="172" customWidth="1"/>
    <col min="774" max="774" width="15" style="172" customWidth="1"/>
    <col min="775" max="1025" width="10" style="172" customWidth="1"/>
    <col min="1026" max="1026" width="9.375" style="172" customWidth="1"/>
    <col min="1027" max="1027" width="22.875" style="172" customWidth="1"/>
    <col min="1028" max="1028" width="12.75" style="172" customWidth="1"/>
    <col min="1029" max="1029" width="14.125" style="172" customWidth="1"/>
    <col min="1030" max="1030" width="15" style="172" customWidth="1"/>
    <col min="1031" max="1281" width="10" style="172" customWidth="1"/>
    <col min="1282" max="1282" width="9.375" style="172" customWidth="1"/>
    <col min="1283" max="1283" width="22.875" style="172" customWidth="1"/>
    <col min="1284" max="1284" width="12.75" style="172" customWidth="1"/>
    <col min="1285" max="1285" width="14.125" style="172" customWidth="1"/>
    <col min="1286" max="1286" width="15" style="172" customWidth="1"/>
    <col min="1287" max="1537" width="10" style="172" customWidth="1"/>
    <col min="1538" max="1538" width="9.375" style="172" customWidth="1"/>
    <col min="1539" max="1539" width="22.875" style="172" customWidth="1"/>
    <col min="1540" max="1540" width="12.75" style="172" customWidth="1"/>
    <col min="1541" max="1541" width="14.125" style="172" customWidth="1"/>
    <col min="1542" max="1542" width="15" style="172" customWidth="1"/>
    <col min="1543" max="1793" width="10" style="172" customWidth="1"/>
    <col min="1794" max="1794" width="9.375" style="172" customWidth="1"/>
    <col min="1795" max="1795" width="22.875" style="172" customWidth="1"/>
    <col min="1796" max="1796" width="12.75" style="172" customWidth="1"/>
    <col min="1797" max="1797" width="14.125" style="172" customWidth="1"/>
    <col min="1798" max="1798" width="15" style="172" customWidth="1"/>
    <col min="1799" max="2049" width="10" style="172" customWidth="1"/>
    <col min="2050" max="2050" width="9.375" style="172" customWidth="1"/>
    <col min="2051" max="2051" width="22.875" style="172" customWidth="1"/>
    <col min="2052" max="2052" width="12.75" style="172" customWidth="1"/>
    <col min="2053" max="2053" width="14.125" style="172" customWidth="1"/>
    <col min="2054" max="2054" width="15" style="172" customWidth="1"/>
    <col min="2055" max="2305" width="10" style="172" customWidth="1"/>
    <col min="2306" max="2306" width="9.375" style="172" customWidth="1"/>
    <col min="2307" max="2307" width="22.875" style="172" customWidth="1"/>
    <col min="2308" max="2308" width="12.75" style="172" customWidth="1"/>
    <col min="2309" max="2309" width="14.125" style="172" customWidth="1"/>
    <col min="2310" max="2310" width="15" style="172" customWidth="1"/>
    <col min="2311" max="2561" width="10" style="172" customWidth="1"/>
    <col min="2562" max="2562" width="9.375" style="172" customWidth="1"/>
    <col min="2563" max="2563" width="22.875" style="172" customWidth="1"/>
    <col min="2564" max="2564" width="12.75" style="172" customWidth="1"/>
    <col min="2565" max="2565" width="14.125" style="172" customWidth="1"/>
    <col min="2566" max="2566" width="15" style="172" customWidth="1"/>
    <col min="2567" max="2817" width="10" style="172" customWidth="1"/>
    <col min="2818" max="2818" width="9.375" style="172" customWidth="1"/>
    <col min="2819" max="2819" width="22.875" style="172" customWidth="1"/>
    <col min="2820" max="2820" width="12.75" style="172" customWidth="1"/>
    <col min="2821" max="2821" width="14.125" style="172" customWidth="1"/>
    <col min="2822" max="2822" width="15" style="172" customWidth="1"/>
    <col min="2823" max="3073" width="10" style="172" customWidth="1"/>
    <col min="3074" max="3074" width="9.375" style="172" customWidth="1"/>
    <col min="3075" max="3075" width="22.875" style="172" customWidth="1"/>
    <col min="3076" max="3076" width="12.75" style="172" customWidth="1"/>
    <col min="3077" max="3077" width="14.125" style="172" customWidth="1"/>
    <col min="3078" max="3078" width="15" style="172" customWidth="1"/>
    <col min="3079" max="3329" width="10" style="172" customWidth="1"/>
    <col min="3330" max="3330" width="9.375" style="172" customWidth="1"/>
    <col min="3331" max="3331" width="22.875" style="172" customWidth="1"/>
    <col min="3332" max="3332" width="12.75" style="172" customWidth="1"/>
    <col min="3333" max="3333" width="14.125" style="172" customWidth="1"/>
    <col min="3334" max="3334" width="15" style="172" customWidth="1"/>
    <col min="3335" max="3585" width="10" style="172" customWidth="1"/>
    <col min="3586" max="3586" width="9.375" style="172" customWidth="1"/>
    <col min="3587" max="3587" width="22.875" style="172" customWidth="1"/>
    <col min="3588" max="3588" width="12.75" style="172" customWidth="1"/>
    <col min="3589" max="3589" width="14.125" style="172" customWidth="1"/>
    <col min="3590" max="3590" width="15" style="172" customWidth="1"/>
    <col min="3591" max="3841" width="10" style="172" customWidth="1"/>
    <col min="3842" max="3842" width="9.375" style="172" customWidth="1"/>
    <col min="3843" max="3843" width="22.875" style="172" customWidth="1"/>
    <col min="3844" max="3844" width="12.75" style="172" customWidth="1"/>
    <col min="3845" max="3845" width="14.125" style="172" customWidth="1"/>
    <col min="3846" max="3846" width="15" style="172" customWidth="1"/>
    <col min="3847" max="4097" width="10" style="172" customWidth="1"/>
    <col min="4098" max="4098" width="9.375" style="172" customWidth="1"/>
    <col min="4099" max="4099" width="22.875" style="172" customWidth="1"/>
    <col min="4100" max="4100" width="12.75" style="172" customWidth="1"/>
    <col min="4101" max="4101" width="14.125" style="172" customWidth="1"/>
    <col min="4102" max="4102" width="15" style="172" customWidth="1"/>
    <col min="4103" max="4353" width="10" style="172" customWidth="1"/>
    <col min="4354" max="4354" width="9.375" style="172" customWidth="1"/>
    <col min="4355" max="4355" width="22.875" style="172" customWidth="1"/>
    <col min="4356" max="4356" width="12.75" style="172" customWidth="1"/>
    <col min="4357" max="4357" width="14.125" style="172" customWidth="1"/>
    <col min="4358" max="4358" width="15" style="172" customWidth="1"/>
    <col min="4359" max="4609" width="10" style="172" customWidth="1"/>
    <col min="4610" max="4610" width="9.375" style="172" customWidth="1"/>
    <col min="4611" max="4611" width="22.875" style="172" customWidth="1"/>
    <col min="4612" max="4612" width="12.75" style="172" customWidth="1"/>
    <col min="4613" max="4613" width="14.125" style="172" customWidth="1"/>
    <col min="4614" max="4614" width="15" style="172" customWidth="1"/>
    <col min="4615" max="4865" width="10" style="172" customWidth="1"/>
    <col min="4866" max="4866" width="9.375" style="172" customWidth="1"/>
    <col min="4867" max="4867" width="22.875" style="172" customWidth="1"/>
    <col min="4868" max="4868" width="12.75" style="172" customWidth="1"/>
    <col min="4869" max="4869" width="14.125" style="172" customWidth="1"/>
    <col min="4870" max="4870" width="15" style="172" customWidth="1"/>
    <col min="4871" max="5121" width="10" style="172" customWidth="1"/>
    <col min="5122" max="5122" width="9.375" style="172" customWidth="1"/>
    <col min="5123" max="5123" width="22.875" style="172" customWidth="1"/>
    <col min="5124" max="5124" width="12.75" style="172" customWidth="1"/>
    <col min="5125" max="5125" width="14.125" style="172" customWidth="1"/>
    <col min="5126" max="5126" width="15" style="172" customWidth="1"/>
    <col min="5127" max="5377" width="10" style="172" customWidth="1"/>
    <col min="5378" max="5378" width="9.375" style="172" customWidth="1"/>
    <col min="5379" max="5379" width="22.875" style="172" customWidth="1"/>
    <col min="5380" max="5380" width="12.75" style="172" customWidth="1"/>
    <col min="5381" max="5381" width="14.125" style="172" customWidth="1"/>
    <col min="5382" max="5382" width="15" style="172" customWidth="1"/>
    <col min="5383" max="5633" width="10" style="172" customWidth="1"/>
    <col min="5634" max="5634" width="9.375" style="172" customWidth="1"/>
    <col min="5635" max="5635" width="22.875" style="172" customWidth="1"/>
    <col min="5636" max="5636" width="12.75" style="172" customWidth="1"/>
    <col min="5637" max="5637" width="14.125" style="172" customWidth="1"/>
    <col min="5638" max="5638" width="15" style="172" customWidth="1"/>
    <col min="5639" max="5889" width="10" style="172" customWidth="1"/>
    <col min="5890" max="5890" width="9.375" style="172" customWidth="1"/>
    <col min="5891" max="5891" width="22.875" style="172" customWidth="1"/>
    <col min="5892" max="5892" width="12.75" style="172" customWidth="1"/>
    <col min="5893" max="5893" width="14.125" style="172" customWidth="1"/>
    <col min="5894" max="5894" width="15" style="172" customWidth="1"/>
    <col min="5895" max="6145" width="10" style="172" customWidth="1"/>
    <col min="6146" max="6146" width="9.375" style="172" customWidth="1"/>
    <col min="6147" max="6147" width="22.875" style="172" customWidth="1"/>
    <col min="6148" max="6148" width="12.75" style="172" customWidth="1"/>
    <col min="6149" max="6149" width="14.125" style="172" customWidth="1"/>
    <col min="6150" max="6150" width="15" style="172" customWidth="1"/>
    <col min="6151" max="6401" width="10" style="172" customWidth="1"/>
    <col min="6402" max="6402" width="9.375" style="172" customWidth="1"/>
    <col min="6403" max="6403" width="22.875" style="172" customWidth="1"/>
    <col min="6404" max="6404" width="12.75" style="172" customWidth="1"/>
    <col min="6405" max="6405" width="14.125" style="172" customWidth="1"/>
    <col min="6406" max="6406" width="15" style="172" customWidth="1"/>
    <col min="6407" max="6657" width="10" style="172" customWidth="1"/>
    <col min="6658" max="6658" width="9.375" style="172" customWidth="1"/>
    <col min="6659" max="6659" width="22.875" style="172" customWidth="1"/>
    <col min="6660" max="6660" width="12.75" style="172" customWidth="1"/>
    <col min="6661" max="6661" width="14.125" style="172" customWidth="1"/>
    <col min="6662" max="6662" width="15" style="172" customWidth="1"/>
    <col min="6663" max="6913" width="10" style="172" customWidth="1"/>
    <col min="6914" max="6914" width="9.375" style="172" customWidth="1"/>
    <col min="6915" max="6915" width="22.875" style="172" customWidth="1"/>
    <col min="6916" max="6916" width="12.75" style="172" customWidth="1"/>
    <col min="6917" max="6917" width="14.125" style="172" customWidth="1"/>
    <col min="6918" max="6918" width="15" style="172" customWidth="1"/>
    <col min="6919" max="7169" width="10" style="172" customWidth="1"/>
    <col min="7170" max="7170" width="9.375" style="172" customWidth="1"/>
    <col min="7171" max="7171" width="22.875" style="172" customWidth="1"/>
    <col min="7172" max="7172" width="12.75" style="172" customWidth="1"/>
    <col min="7173" max="7173" width="14.125" style="172" customWidth="1"/>
    <col min="7174" max="7174" width="15" style="172" customWidth="1"/>
    <col min="7175" max="7425" width="10" style="172" customWidth="1"/>
    <col min="7426" max="7426" width="9.375" style="172" customWidth="1"/>
    <col min="7427" max="7427" width="22.875" style="172" customWidth="1"/>
    <col min="7428" max="7428" width="12.75" style="172" customWidth="1"/>
    <col min="7429" max="7429" width="14.125" style="172" customWidth="1"/>
    <col min="7430" max="7430" width="15" style="172" customWidth="1"/>
    <col min="7431" max="7681" width="10" style="172" customWidth="1"/>
    <col min="7682" max="7682" width="9.375" style="172" customWidth="1"/>
    <col min="7683" max="7683" width="22.875" style="172" customWidth="1"/>
    <col min="7684" max="7684" width="12.75" style="172" customWidth="1"/>
    <col min="7685" max="7685" width="14.125" style="172" customWidth="1"/>
    <col min="7686" max="7686" width="15" style="172" customWidth="1"/>
    <col min="7687" max="7937" width="10" style="172" customWidth="1"/>
    <col min="7938" max="7938" width="9.375" style="172" customWidth="1"/>
    <col min="7939" max="7939" width="22.875" style="172" customWidth="1"/>
    <col min="7940" max="7940" width="12.75" style="172" customWidth="1"/>
    <col min="7941" max="7941" width="14.125" style="172" customWidth="1"/>
    <col min="7942" max="7942" width="15" style="172" customWidth="1"/>
    <col min="7943" max="8193" width="10" style="172" customWidth="1"/>
    <col min="8194" max="8194" width="9.375" style="172" customWidth="1"/>
    <col min="8195" max="8195" width="22.875" style="172" customWidth="1"/>
    <col min="8196" max="8196" width="12.75" style="172" customWidth="1"/>
    <col min="8197" max="8197" width="14.125" style="172" customWidth="1"/>
    <col min="8198" max="8198" width="15" style="172" customWidth="1"/>
    <col min="8199" max="8449" width="10" style="172" customWidth="1"/>
    <col min="8450" max="8450" width="9.375" style="172" customWidth="1"/>
    <col min="8451" max="8451" width="22.875" style="172" customWidth="1"/>
    <col min="8452" max="8452" width="12.75" style="172" customWidth="1"/>
    <col min="8453" max="8453" width="14.125" style="172" customWidth="1"/>
    <col min="8454" max="8454" width="15" style="172" customWidth="1"/>
    <col min="8455" max="8705" width="10" style="172" customWidth="1"/>
    <col min="8706" max="8706" width="9.375" style="172" customWidth="1"/>
    <col min="8707" max="8707" width="22.875" style="172" customWidth="1"/>
    <col min="8708" max="8708" width="12.75" style="172" customWidth="1"/>
    <col min="8709" max="8709" width="14.125" style="172" customWidth="1"/>
    <col min="8710" max="8710" width="15" style="172" customWidth="1"/>
    <col min="8711" max="8961" width="10" style="172" customWidth="1"/>
    <col min="8962" max="8962" width="9.375" style="172" customWidth="1"/>
    <col min="8963" max="8963" width="22.875" style="172" customWidth="1"/>
    <col min="8964" max="8964" width="12.75" style="172" customWidth="1"/>
    <col min="8965" max="8965" width="14.125" style="172" customWidth="1"/>
    <col min="8966" max="8966" width="15" style="172" customWidth="1"/>
    <col min="8967" max="9217" width="10" style="172" customWidth="1"/>
    <col min="9218" max="9218" width="9.375" style="172" customWidth="1"/>
    <col min="9219" max="9219" width="22.875" style="172" customWidth="1"/>
    <col min="9220" max="9220" width="12.75" style="172" customWidth="1"/>
    <col min="9221" max="9221" width="14.125" style="172" customWidth="1"/>
    <col min="9222" max="9222" width="15" style="172" customWidth="1"/>
    <col min="9223" max="9473" width="10" style="172" customWidth="1"/>
    <col min="9474" max="9474" width="9.375" style="172" customWidth="1"/>
    <col min="9475" max="9475" width="22.875" style="172" customWidth="1"/>
    <col min="9476" max="9476" width="12.75" style="172" customWidth="1"/>
    <col min="9477" max="9477" width="14.125" style="172" customWidth="1"/>
    <col min="9478" max="9478" width="15" style="172" customWidth="1"/>
    <col min="9479" max="9729" width="10" style="172" customWidth="1"/>
    <col min="9730" max="9730" width="9.375" style="172" customWidth="1"/>
    <col min="9731" max="9731" width="22.875" style="172" customWidth="1"/>
    <col min="9732" max="9732" width="12.75" style="172" customWidth="1"/>
    <col min="9733" max="9733" width="14.125" style="172" customWidth="1"/>
    <col min="9734" max="9734" width="15" style="172" customWidth="1"/>
    <col min="9735" max="9985" width="10" style="172" customWidth="1"/>
    <col min="9986" max="9986" width="9.375" style="172" customWidth="1"/>
    <col min="9987" max="9987" width="22.875" style="172" customWidth="1"/>
    <col min="9988" max="9988" width="12.75" style="172" customWidth="1"/>
    <col min="9989" max="9989" width="14.125" style="172" customWidth="1"/>
    <col min="9990" max="9990" width="15" style="172" customWidth="1"/>
    <col min="9991" max="10241" width="10" style="172" customWidth="1"/>
    <col min="10242" max="10242" width="9.375" style="172" customWidth="1"/>
    <col min="10243" max="10243" width="22.875" style="172" customWidth="1"/>
    <col min="10244" max="10244" width="12.75" style="172" customWidth="1"/>
    <col min="10245" max="10245" width="14.125" style="172" customWidth="1"/>
    <col min="10246" max="10246" width="15" style="172" customWidth="1"/>
    <col min="10247" max="10497" width="10" style="172" customWidth="1"/>
    <col min="10498" max="10498" width="9.375" style="172" customWidth="1"/>
    <col min="10499" max="10499" width="22.875" style="172" customWidth="1"/>
    <col min="10500" max="10500" width="12.75" style="172" customWidth="1"/>
    <col min="10501" max="10501" width="14.125" style="172" customWidth="1"/>
    <col min="10502" max="10502" width="15" style="172" customWidth="1"/>
    <col min="10503" max="10753" width="10" style="172" customWidth="1"/>
    <col min="10754" max="10754" width="9.375" style="172" customWidth="1"/>
    <col min="10755" max="10755" width="22.875" style="172" customWidth="1"/>
    <col min="10756" max="10756" width="12.75" style="172" customWidth="1"/>
    <col min="10757" max="10757" width="14.125" style="172" customWidth="1"/>
    <col min="10758" max="10758" width="15" style="172" customWidth="1"/>
    <col min="10759" max="11009" width="10" style="172" customWidth="1"/>
    <col min="11010" max="11010" width="9.375" style="172" customWidth="1"/>
    <col min="11011" max="11011" width="22.875" style="172" customWidth="1"/>
    <col min="11012" max="11012" width="12.75" style="172" customWidth="1"/>
    <col min="11013" max="11013" width="14.125" style="172" customWidth="1"/>
    <col min="11014" max="11014" width="15" style="172" customWidth="1"/>
    <col min="11015" max="11265" width="10" style="172" customWidth="1"/>
    <col min="11266" max="11266" width="9.375" style="172" customWidth="1"/>
    <col min="11267" max="11267" width="22.875" style="172" customWidth="1"/>
    <col min="11268" max="11268" width="12.75" style="172" customWidth="1"/>
    <col min="11269" max="11269" width="14.125" style="172" customWidth="1"/>
    <col min="11270" max="11270" width="15" style="172" customWidth="1"/>
    <col min="11271" max="11521" width="10" style="172" customWidth="1"/>
    <col min="11522" max="11522" width="9.375" style="172" customWidth="1"/>
    <col min="11523" max="11523" width="22.875" style="172" customWidth="1"/>
    <col min="11524" max="11524" width="12.75" style="172" customWidth="1"/>
    <col min="11525" max="11525" width="14.125" style="172" customWidth="1"/>
    <col min="11526" max="11526" width="15" style="172" customWidth="1"/>
    <col min="11527" max="11777" width="10" style="172" customWidth="1"/>
    <col min="11778" max="11778" width="9.375" style="172" customWidth="1"/>
    <col min="11779" max="11779" width="22.875" style="172" customWidth="1"/>
    <col min="11780" max="11780" width="12.75" style="172" customWidth="1"/>
    <col min="11781" max="11781" width="14.125" style="172" customWidth="1"/>
    <col min="11782" max="11782" width="15" style="172" customWidth="1"/>
    <col min="11783" max="12033" width="10" style="172" customWidth="1"/>
    <col min="12034" max="12034" width="9.375" style="172" customWidth="1"/>
    <col min="12035" max="12035" width="22.875" style="172" customWidth="1"/>
    <col min="12036" max="12036" width="12.75" style="172" customWidth="1"/>
    <col min="12037" max="12037" width="14.125" style="172" customWidth="1"/>
    <col min="12038" max="12038" width="15" style="172" customWidth="1"/>
    <col min="12039" max="12289" width="10" style="172" customWidth="1"/>
    <col min="12290" max="12290" width="9.375" style="172" customWidth="1"/>
    <col min="12291" max="12291" width="22.875" style="172" customWidth="1"/>
    <col min="12292" max="12292" width="12.75" style="172" customWidth="1"/>
    <col min="12293" max="12293" width="14.125" style="172" customWidth="1"/>
    <col min="12294" max="12294" width="15" style="172" customWidth="1"/>
    <col min="12295" max="12545" width="10" style="172" customWidth="1"/>
    <col min="12546" max="12546" width="9.375" style="172" customWidth="1"/>
    <col min="12547" max="12547" width="22.875" style="172" customWidth="1"/>
    <col min="12548" max="12548" width="12.75" style="172" customWidth="1"/>
    <col min="12549" max="12549" width="14.125" style="172" customWidth="1"/>
    <col min="12550" max="12550" width="15" style="172" customWidth="1"/>
    <col min="12551" max="12801" width="10" style="172" customWidth="1"/>
    <col min="12802" max="12802" width="9.375" style="172" customWidth="1"/>
    <col min="12803" max="12803" width="22.875" style="172" customWidth="1"/>
    <col min="12804" max="12804" width="12.75" style="172" customWidth="1"/>
    <col min="12805" max="12805" width="14.125" style="172" customWidth="1"/>
    <col min="12806" max="12806" width="15" style="172" customWidth="1"/>
    <col min="12807" max="13057" width="10" style="172" customWidth="1"/>
    <col min="13058" max="13058" width="9.375" style="172" customWidth="1"/>
    <col min="13059" max="13059" width="22.875" style="172" customWidth="1"/>
    <col min="13060" max="13060" width="12.75" style="172" customWidth="1"/>
    <col min="13061" max="13061" width="14.125" style="172" customWidth="1"/>
    <col min="13062" max="13062" width="15" style="172" customWidth="1"/>
    <col min="13063" max="13313" width="10" style="172" customWidth="1"/>
    <col min="13314" max="13314" width="9.375" style="172" customWidth="1"/>
    <col min="13315" max="13315" width="22.875" style="172" customWidth="1"/>
    <col min="13316" max="13316" width="12.75" style="172" customWidth="1"/>
    <col min="13317" max="13317" width="14.125" style="172" customWidth="1"/>
    <col min="13318" max="13318" width="15" style="172" customWidth="1"/>
    <col min="13319" max="13569" width="10" style="172" customWidth="1"/>
    <col min="13570" max="13570" width="9.375" style="172" customWidth="1"/>
    <col min="13571" max="13571" width="22.875" style="172" customWidth="1"/>
    <col min="13572" max="13572" width="12.75" style="172" customWidth="1"/>
    <col min="13573" max="13573" width="14.125" style="172" customWidth="1"/>
    <col min="13574" max="13574" width="15" style="172" customWidth="1"/>
    <col min="13575" max="13825" width="10" style="172" customWidth="1"/>
    <col min="13826" max="13826" width="9.375" style="172" customWidth="1"/>
    <col min="13827" max="13827" width="22.875" style="172" customWidth="1"/>
    <col min="13828" max="13828" width="12.75" style="172" customWidth="1"/>
    <col min="13829" max="13829" width="14.125" style="172" customWidth="1"/>
    <col min="13830" max="13830" width="15" style="172" customWidth="1"/>
    <col min="13831" max="14081" width="10" style="172" customWidth="1"/>
    <col min="14082" max="14082" width="9.375" style="172" customWidth="1"/>
    <col min="14083" max="14083" width="22.875" style="172" customWidth="1"/>
    <col min="14084" max="14084" width="12.75" style="172" customWidth="1"/>
    <col min="14085" max="14085" width="14.125" style="172" customWidth="1"/>
    <col min="14086" max="14086" width="15" style="172" customWidth="1"/>
    <col min="14087" max="14337" width="10" style="172" customWidth="1"/>
    <col min="14338" max="14338" width="9.375" style="172" customWidth="1"/>
    <col min="14339" max="14339" width="22.875" style="172" customWidth="1"/>
    <col min="14340" max="14340" width="12.75" style="172" customWidth="1"/>
    <col min="14341" max="14341" width="14.125" style="172" customWidth="1"/>
    <col min="14342" max="14342" width="15" style="172" customWidth="1"/>
    <col min="14343" max="14593" width="10" style="172" customWidth="1"/>
    <col min="14594" max="14594" width="9.375" style="172" customWidth="1"/>
    <col min="14595" max="14595" width="22.875" style="172" customWidth="1"/>
    <col min="14596" max="14596" width="12.75" style="172" customWidth="1"/>
    <col min="14597" max="14597" width="14.125" style="172" customWidth="1"/>
    <col min="14598" max="14598" width="15" style="172" customWidth="1"/>
    <col min="14599" max="14849" width="10" style="172" customWidth="1"/>
    <col min="14850" max="14850" width="9.375" style="172" customWidth="1"/>
    <col min="14851" max="14851" width="22.875" style="172" customWidth="1"/>
    <col min="14852" max="14852" width="12.75" style="172" customWidth="1"/>
    <col min="14853" max="14853" width="14.125" style="172" customWidth="1"/>
    <col min="14854" max="14854" width="15" style="172" customWidth="1"/>
    <col min="14855" max="15105" width="10" style="172" customWidth="1"/>
    <col min="15106" max="15106" width="9.375" style="172" customWidth="1"/>
    <col min="15107" max="15107" width="22.875" style="172" customWidth="1"/>
    <col min="15108" max="15108" width="12.75" style="172" customWidth="1"/>
    <col min="15109" max="15109" width="14.125" style="172" customWidth="1"/>
    <col min="15110" max="15110" width="15" style="172" customWidth="1"/>
    <col min="15111" max="15361" width="10" style="172" customWidth="1"/>
    <col min="15362" max="15362" width="9.375" style="172" customWidth="1"/>
    <col min="15363" max="15363" width="22.875" style="172" customWidth="1"/>
    <col min="15364" max="15364" width="12.75" style="172" customWidth="1"/>
    <col min="15365" max="15365" width="14.125" style="172" customWidth="1"/>
    <col min="15366" max="15366" width="15" style="172" customWidth="1"/>
    <col min="15367" max="15617" width="10" style="172" customWidth="1"/>
    <col min="15618" max="15618" width="9.375" style="172" customWidth="1"/>
    <col min="15619" max="15619" width="22.875" style="172" customWidth="1"/>
    <col min="15620" max="15620" width="12.75" style="172" customWidth="1"/>
    <col min="15621" max="15621" width="14.125" style="172" customWidth="1"/>
    <col min="15622" max="15622" width="15" style="172" customWidth="1"/>
    <col min="15623" max="15873" width="10" style="172" customWidth="1"/>
    <col min="15874" max="15874" width="9.375" style="172" customWidth="1"/>
    <col min="15875" max="15875" width="22.875" style="172" customWidth="1"/>
    <col min="15876" max="15876" width="12.75" style="172" customWidth="1"/>
    <col min="15877" max="15877" width="14.125" style="172" customWidth="1"/>
    <col min="15878" max="15878" width="15" style="172" customWidth="1"/>
    <col min="15879" max="16129" width="10" style="172" customWidth="1"/>
    <col min="16130" max="16130" width="9.375" style="172" customWidth="1"/>
    <col min="16131" max="16131" width="22.875" style="172" customWidth="1"/>
    <col min="16132" max="16132" width="12.75" style="172" customWidth="1"/>
    <col min="16133" max="16133" width="14.125" style="172" customWidth="1"/>
    <col min="16134" max="16134" width="15" style="172" customWidth="1"/>
    <col min="16135" max="16384" width="10" style="172" customWidth="1"/>
  </cols>
  <sheetData>
    <row r="2" spans="2:9" ht="13.5" thickBot="1"/>
    <row r="3" spans="2:9" ht="16.5" thickBot="1">
      <c r="B3" s="173" t="s">
        <v>216</v>
      </c>
      <c r="C3" s="309" t="s">
        <v>687</v>
      </c>
      <c r="D3" s="309"/>
      <c r="E3" s="309"/>
      <c r="F3" s="310"/>
      <c r="H3" s="172" t="b">
        <f>B4="CODE"</f>
        <v>1</v>
      </c>
      <c r="I3" s="172">
        <f>IF(H3,F5,0)</f>
        <v>1.7986402387041773</v>
      </c>
    </row>
    <row r="4" spans="2:9" ht="13.5" thickBot="1">
      <c r="B4" s="174" t="s">
        <v>319</v>
      </c>
      <c r="C4" s="175" t="s">
        <v>320</v>
      </c>
      <c r="D4" s="176" t="s">
        <v>321</v>
      </c>
      <c r="E4" s="176" t="s">
        <v>322</v>
      </c>
      <c r="F4" s="177" t="s">
        <v>323</v>
      </c>
      <c r="H4" s="172" t="b">
        <f t="shared" ref="H4:H67" si="0">B5="CODE"</f>
        <v>0</v>
      </c>
      <c r="I4" s="172">
        <f t="shared" ref="I4:I67" si="1">IF(H4,F6,0)</f>
        <v>0</v>
      </c>
    </row>
    <row r="5" spans="2:9" ht="15">
      <c r="B5" s="178" t="s">
        <v>324</v>
      </c>
      <c r="C5" s="179" t="s">
        <v>221</v>
      </c>
      <c r="D5" s="180">
        <v>0.2</v>
      </c>
      <c r="E5" s="181">
        <v>0.74400000000000011</v>
      </c>
      <c r="F5" s="311">
        <v>1.7986402387041773</v>
      </c>
      <c r="H5" s="172" t="b">
        <f t="shared" si="0"/>
        <v>0</v>
      </c>
      <c r="I5" s="172">
        <f t="shared" si="1"/>
        <v>0</v>
      </c>
    </row>
    <row r="6" spans="2:9" ht="15">
      <c r="B6" s="182" t="s">
        <v>325</v>
      </c>
      <c r="C6" s="183" t="s">
        <v>223</v>
      </c>
      <c r="D6" s="184">
        <v>0.24</v>
      </c>
      <c r="E6" s="185">
        <v>0.63600000000000001</v>
      </c>
      <c r="F6" s="312"/>
      <c r="H6" s="172" t="b">
        <f t="shared" si="0"/>
        <v>0</v>
      </c>
      <c r="I6" s="172">
        <f t="shared" si="1"/>
        <v>0</v>
      </c>
    </row>
    <row r="7" spans="2:9" ht="15">
      <c r="B7" s="182" t="s">
        <v>326</v>
      </c>
      <c r="C7" s="183" t="s">
        <v>238</v>
      </c>
      <c r="D7" s="184">
        <v>3.5000000000000001E-3</v>
      </c>
      <c r="E7" s="185">
        <v>2.2085E-2</v>
      </c>
      <c r="F7" s="312"/>
      <c r="H7" s="172" t="b">
        <f t="shared" si="0"/>
        <v>0</v>
      </c>
      <c r="I7" s="172">
        <f t="shared" si="1"/>
        <v>0</v>
      </c>
    </row>
    <row r="8" spans="2:9" ht="15">
      <c r="B8" s="182" t="s">
        <v>327</v>
      </c>
      <c r="C8" s="183" t="s">
        <v>65</v>
      </c>
      <c r="D8" s="184">
        <v>1E-3</v>
      </c>
      <c r="E8" s="185">
        <v>9.5700000000000004E-3</v>
      </c>
      <c r="F8" s="312"/>
      <c r="H8" s="172" t="b">
        <f t="shared" si="0"/>
        <v>0</v>
      </c>
      <c r="I8" s="172">
        <f t="shared" si="1"/>
        <v>0</v>
      </c>
    </row>
    <row r="9" spans="2:9" ht="15">
      <c r="B9" s="182" t="s">
        <v>328</v>
      </c>
      <c r="C9" s="183" t="s">
        <v>235</v>
      </c>
      <c r="D9" s="184">
        <v>3.5000000000000001E-3</v>
      </c>
      <c r="E9" s="185">
        <v>2.9155E-2</v>
      </c>
      <c r="F9" s="312"/>
      <c r="H9" s="172" t="b">
        <f t="shared" si="0"/>
        <v>0</v>
      </c>
      <c r="I9" s="172">
        <f t="shared" si="1"/>
        <v>0</v>
      </c>
    </row>
    <row r="10" spans="2:9" ht="15">
      <c r="B10" s="182" t="s">
        <v>329</v>
      </c>
      <c r="C10" s="183" t="s">
        <v>194</v>
      </c>
      <c r="D10" s="184">
        <v>6.1999999999999998E-3</v>
      </c>
      <c r="E10" s="185">
        <v>1.55E-2</v>
      </c>
      <c r="F10" s="312"/>
      <c r="H10" s="172" t="b">
        <f t="shared" si="0"/>
        <v>0</v>
      </c>
      <c r="I10" s="172">
        <f t="shared" si="1"/>
        <v>0</v>
      </c>
    </row>
    <row r="11" spans="2:9" ht="15">
      <c r="B11" s="182" t="s">
        <v>330</v>
      </c>
      <c r="C11" s="183" t="s">
        <v>192</v>
      </c>
      <c r="D11" s="184">
        <v>6.3799999999999996E-2</v>
      </c>
      <c r="E11" s="185">
        <v>0.40193999999999996</v>
      </c>
      <c r="F11" s="313"/>
      <c r="H11" s="172" t="b">
        <f t="shared" si="0"/>
        <v>0</v>
      </c>
      <c r="I11" s="172">
        <f t="shared" si="1"/>
        <v>0</v>
      </c>
    </row>
    <row r="12" spans="2:9" ht="15">
      <c r="B12" s="182" t="s">
        <v>331</v>
      </c>
      <c r="C12" s="183" t="s">
        <v>332</v>
      </c>
      <c r="D12" s="184">
        <v>0.19</v>
      </c>
      <c r="E12" s="185">
        <v>1.7954999999999999E-2</v>
      </c>
      <c r="F12" s="313"/>
      <c r="H12" s="172" t="b">
        <f t="shared" si="0"/>
        <v>0</v>
      </c>
      <c r="I12" s="172">
        <f t="shared" si="1"/>
        <v>0</v>
      </c>
    </row>
    <row r="13" spans="2:9" ht="15">
      <c r="B13" s="182" t="s">
        <v>333</v>
      </c>
      <c r="C13" s="183" t="s">
        <v>127</v>
      </c>
      <c r="D13" s="184">
        <v>0.25</v>
      </c>
      <c r="E13" s="185">
        <v>0.113</v>
      </c>
      <c r="F13" s="313"/>
      <c r="H13" s="172" t="b">
        <f t="shared" si="0"/>
        <v>0</v>
      </c>
      <c r="I13" s="172">
        <f t="shared" si="1"/>
        <v>0</v>
      </c>
    </row>
    <row r="14" spans="2:9" ht="15.75" thickBot="1">
      <c r="B14" s="186" t="s">
        <v>334</v>
      </c>
      <c r="C14" s="187" t="s">
        <v>129</v>
      </c>
      <c r="D14" s="188">
        <v>1.4999999999999999E-2</v>
      </c>
      <c r="E14" s="189">
        <v>0.12059999999999998</v>
      </c>
      <c r="F14" s="314"/>
      <c r="H14" s="172" t="b">
        <f t="shared" si="0"/>
        <v>0</v>
      </c>
      <c r="I14" s="172">
        <f t="shared" si="1"/>
        <v>0</v>
      </c>
    </row>
    <row r="15" spans="2:9" ht="15">
      <c r="B15" s="190"/>
      <c r="C15" s="191"/>
      <c r="D15" s="192">
        <v>0.97299999999999998</v>
      </c>
      <c r="E15" s="192">
        <v>2.1098050000000002</v>
      </c>
      <c r="F15" s="191"/>
      <c r="H15" s="172" t="b">
        <f t="shared" si="0"/>
        <v>0</v>
      </c>
      <c r="I15" s="172">
        <f t="shared" si="1"/>
        <v>0</v>
      </c>
    </row>
    <row r="16" spans="2:9" ht="15.75" thickBot="1">
      <c r="B16" s="190"/>
      <c r="C16" s="191"/>
      <c r="D16" s="191"/>
      <c r="E16" s="192"/>
      <c r="F16" s="191"/>
      <c r="H16" s="172" t="b">
        <f t="shared" si="0"/>
        <v>0</v>
      </c>
      <c r="I16" s="172">
        <f t="shared" si="1"/>
        <v>0</v>
      </c>
    </row>
    <row r="17" spans="1:9" ht="16.5" thickBot="1">
      <c r="B17" s="173" t="s">
        <v>216</v>
      </c>
      <c r="C17" s="309" t="s">
        <v>688</v>
      </c>
      <c r="D17" s="309"/>
      <c r="E17" s="309"/>
      <c r="F17" s="310"/>
      <c r="H17" s="172" t="b">
        <f t="shared" si="0"/>
        <v>1</v>
      </c>
      <c r="I17" s="172">
        <f t="shared" si="1"/>
        <v>0.84910485933503843</v>
      </c>
    </row>
    <row r="18" spans="1:9" ht="13.5" thickBot="1">
      <c r="B18" s="174" t="s">
        <v>319</v>
      </c>
      <c r="C18" s="175" t="s">
        <v>320</v>
      </c>
      <c r="D18" s="176" t="s">
        <v>321</v>
      </c>
      <c r="E18" s="176" t="s">
        <v>322</v>
      </c>
      <c r="F18" s="177" t="s">
        <v>323</v>
      </c>
      <c r="H18" s="172" t="b">
        <f t="shared" si="0"/>
        <v>0</v>
      </c>
      <c r="I18" s="172">
        <f t="shared" si="1"/>
        <v>0</v>
      </c>
    </row>
    <row r="19" spans="1:9" ht="15.75" thickBot="1">
      <c r="B19" s="193" t="s">
        <v>335</v>
      </c>
      <c r="C19" s="194" t="s">
        <v>103</v>
      </c>
      <c r="D19" s="195">
        <v>0.2</v>
      </c>
      <c r="E19" s="196">
        <v>0.99600000000000011</v>
      </c>
      <c r="F19" s="197">
        <v>0.84910485933503843</v>
      </c>
      <c r="H19" s="172" t="b">
        <f t="shared" si="0"/>
        <v>0</v>
      </c>
      <c r="I19" s="172">
        <f t="shared" si="1"/>
        <v>0</v>
      </c>
    </row>
    <row r="20" spans="1:9" ht="15">
      <c r="B20" s="190"/>
      <c r="C20" s="191"/>
      <c r="D20" s="192">
        <v>0.2</v>
      </c>
      <c r="E20" s="192">
        <v>0.99600000000000011</v>
      </c>
      <c r="F20" s="191"/>
      <c r="H20" s="172" t="b">
        <f t="shared" si="0"/>
        <v>0</v>
      </c>
      <c r="I20" s="172">
        <f t="shared" si="1"/>
        <v>0</v>
      </c>
    </row>
    <row r="21" spans="1:9" ht="15">
      <c r="B21" s="190"/>
      <c r="C21" s="191"/>
      <c r="D21" s="192"/>
      <c r="E21" s="192"/>
      <c r="F21" s="191"/>
      <c r="H21" s="172" t="b">
        <f t="shared" si="0"/>
        <v>0</v>
      </c>
      <c r="I21" s="172">
        <f t="shared" si="1"/>
        <v>0</v>
      </c>
    </row>
    <row r="22" spans="1:9" ht="13.5" thickBot="1">
      <c r="A22" s="198"/>
      <c r="B22" s="198"/>
      <c r="C22" s="198"/>
      <c r="D22" s="198"/>
      <c r="E22" s="198"/>
      <c r="F22" s="198"/>
      <c r="G22" s="198"/>
      <c r="H22" s="172" t="b">
        <f t="shared" si="0"/>
        <v>0</v>
      </c>
      <c r="I22" s="172">
        <f t="shared" si="1"/>
        <v>0</v>
      </c>
    </row>
    <row r="23" spans="1:9" ht="15">
      <c r="B23" s="190"/>
      <c r="C23" s="191"/>
      <c r="D23" s="192"/>
      <c r="E23" s="192"/>
      <c r="F23" s="191"/>
      <c r="H23" s="172" t="b">
        <f t="shared" si="0"/>
        <v>0</v>
      </c>
      <c r="I23" s="172">
        <f t="shared" si="1"/>
        <v>0</v>
      </c>
    </row>
    <row r="24" spans="1:9" ht="15.75" thickBot="1">
      <c r="B24" s="190"/>
      <c r="C24" s="191"/>
      <c r="D24" s="192"/>
      <c r="E24" s="192"/>
      <c r="F24" s="191"/>
      <c r="H24" s="172" t="b">
        <f t="shared" si="0"/>
        <v>0</v>
      </c>
      <c r="I24" s="172">
        <f t="shared" si="1"/>
        <v>0</v>
      </c>
    </row>
    <row r="25" spans="1:9" ht="16.5" thickBot="1">
      <c r="B25" s="173" t="s">
        <v>208</v>
      </c>
      <c r="C25" s="309" t="s">
        <v>689</v>
      </c>
      <c r="D25" s="309"/>
      <c r="E25" s="309"/>
      <c r="F25" s="310"/>
      <c r="H25" s="172" t="b">
        <f t="shared" si="0"/>
        <v>1</v>
      </c>
      <c r="I25" s="172">
        <f t="shared" si="1"/>
        <v>2.2385529830810329</v>
      </c>
    </row>
    <row r="26" spans="1:9" ht="13.5" thickBot="1">
      <c r="B26" s="174" t="s">
        <v>319</v>
      </c>
      <c r="C26" s="175" t="s">
        <v>320</v>
      </c>
      <c r="D26" s="176" t="s">
        <v>321</v>
      </c>
      <c r="E26" s="176" t="s">
        <v>322</v>
      </c>
      <c r="F26" s="177" t="s">
        <v>323</v>
      </c>
      <c r="H26" s="172" t="b">
        <f t="shared" si="0"/>
        <v>0</v>
      </c>
      <c r="I26" s="172">
        <f t="shared" si="1"/>
        <v>0</v>
      </c>
    </row>
    <row r="27" spans="1:9" ht="15">
      <c r="B27" s="178" t="s">
        <v>324</v>
      </c>
      <c r="C27" s="199" t="s">
        <v>221</v>
      </c>
      <c r="D27" s="200">
        <v>0.2</v>
      </c>
      <c r="E27" s="181">
        <v>1.304</v>
      </c>
      <c r="F27" s="311">
        <v>2.2385529830810329</v>
      </c>
      <c r="H27" s="172" t="b">
        <f t="shared" si="0"/>
        <v>0</v>
      </c>
      <c r="I27" s="172">
        <f t="shared" si="1"/>
        <v>0</v>
      </c>
    </row>
    <row r="28" spans="1:9" ht="15">
      <c r="B28" s="182" t="s">
        <v>325</v>
      </c>
      <c r="C28" s="201" t="s">
        <v>223</v>
      </c>
      <c r="D28" s="202">
        <v>0.24</v>
      </c>
      <c r="E28" s="185">
        <v>0.63600000000000001</v>
      </c>
      <c r="F28" s="312"/>
      <c r="H28" s="172" t="b">
        <f t="shared" si="0"/>
        <v>0</v>
      </c>
      <c r="I28" s="172">
        <f t="shared" si="1"/>
        <v>0</v>
      </c>
    </row>
    <row r="29" spans="1:9" ht="15">
      <c r="B29" s="182" t="s">
        <v>326</v>
      </c>
      <c r="C29" s="201" t="s">
        <v>238</v>
      </c>
      <c r="D29" s="202">
        <v>3.5000000000000001E-3</v>
      </c>
      <c r="E29" s="185">
        <v>1.5575E-2</v>
      </c>
      <c r="F29" s="312"/>
      <c r="H29" s="172" t="b">
        <f t="shared" si="0"/>
        <v>0</v>
      </c>
      <c r="I29" s="172">
        <f t="shared" si="1"/>
        <v>0</v>
      </c>
    </row>
    <row r="30" spans="1:9" ht="15">
      <c r="B30" s="182" t="s">
        <v>327</v>
      </c>
      <c r="C30" s="201" t="s">
        <v>65</v>
      </c>
      <c r="D30" s="202">
        <v>1E-3</v>
      </c>
      <c r="E30" s="185">
        <v>9.5700000000000004E-3</v>
      </c>
      <c r="F30" s="312"/>
      <c r="H30" s="172" t="b">
        <f t="shared" si="0"/>
        <v>0</v>
      </c>
      <c r="I30" s="172">
        <f t="shared" si="1"/>
        <v>0</v>
      </c>
    </row>
    <row r="31" spans="1:9" ht="15">
      <c r="B31" s="182" t="s">
        <v>328</v>
      </c>
      <c r="C31" s="201" t="s">
        <v>235</v>
      </c>
      <c r="D31" s="202">
        <v>3.5000000000000001E-3</v>
      </c>
      <c r="E31" s="185">
        <v>1.26E-2</v>
      </c>
      <c r="F31" s="312"/>
      <c r="H31" s="172" t="b">
        <f t="shared" si="0"/>
        <v>0</v>
      </c>
      <c r="I31" s="172">
        <f t="shared" si="1"/>
        <v>0</v>
      </c>
    </row>
    <row r="32" spans="1:9" ht="15">
      <c r="B32" s="182" t="s">
        <v>329</v>
      </c>
      <c r="C32" s="201" t="s">
        <v>194</v>
      </c>
      <c r="D32" s="202">
        <v>6.1999999999999998E-3</v>
      </c>
      <c r="E32" s="185">
        <v>1.55E-2</v>
      </c>
      <c r="F32" s="312"/>
      <c r="H32" s="172" t="b">
        <f t="shared" si="0"/>
        <v>0</v>
      </c>
      <c r="I32" s="172">
        <f t="shared" si="1"/>
        <v>0</v>
      </c>
    </row>
    <row r="33" spans="1:9" ht="15">
      <c r="B33" s="182" t="s">
        <v>330</v>
      </c>
      <c r="C33" s="201" t="s">
        <v>192</v>
      </c>
      <c r="D33" s="202">
        <v>6.3799999999999996E-2</v>
      </c>
      <c r="E33" s="185">
        <v>0.40193999999999996</v>
      </c>
      <c r="F33" s="313"/>
      <c r="H33" s="172" t="b">
        <f t="shared" si="0"/>
        <v>0</v>
      </c>
      <c r="I33" s="172">
        <f t="shared" si="1"/>
        <v>0</v>
      </c>
    </row>
    <row r="34" spans="1:9" ht="15">
      <c r="B34" s="182" t="s">
        <v>331</v>
      </c>
      <c r="C34" s="201" t="s">
        <v>332</v>
      </c>
      <c r="D34" s="202">
        <v>0.18</v>
      </c>
      <c r="E34" s="185">
        <v>1.7010000000000001E-2</v>
      </c>
      <c r="F34" s="313"/>
      <c r="H34" s="172" t="b">
        <f t="shared" si="0"/>
        <v>0</v>
      </c>
      <c r="I34" s="172">
        <f t="shared" si="1"/>
        <v>0</v>
      </c>
    </row>
    <row r="35" spans="1:9" ht="15.75" thickBot="1">
      <c r="B35" s="186" t="s">
        <v>333</v>
      </c>
      <c r="C35" s="203" t="s">
        <v>127</v>
      </c>
      <c r="D35" s="204">
        <v>0.22500000000000001</v>
      </c>
      <c r="E35" s="189">
        <v>0.1017</v>
      </c>
      <c r="F35" s="314"/>
      <c r="H35" s="172" t="b">
        <f t="shared" si="0"/>
        <v>0</v>
      </c>
      <c r="I35" s="172">
        <f t="shared" si="1"/>
        <v>0</v>
      </c>
    </row>
    <row r="36" spans="1:9" ht="15">
      <c r="B36" s="190"/>
      <c r="C36" s="191"/>
      <c r="D36" s="192">
        <v>0.92299999999999993</v>
      </c>
      <c r="E36" s="192">
        <v>2.5138949999999998</v>
      </c>
      <c r="F36" s="191"/>
      <c r="H36" s="172" t="b">
        <f t="shared" si="0"/>
        <v>0</v>
      </c>
      <c r="I36" s="172">
        <f t="shared" si="1"/>
        <v>0</v>
      </c>
    </row>
    <row r="37" spans="1:9" ht="15.75" thickBot="1">
      <c r="B37" s="190"/>
      <c r="C37" s="191"/>
      <c r="D37" s="191"/>
      <c r="E37" s="192"/>
      <c r="F37" s="191"/>
      <c r="H37" s="172" t="b">
        <f t="shared" si="0"/>
        <v>0</v>
      </c>
      <c r="I37" s="172">
        <f t="shared" si="1"/>
        <v>0</v>
      </c>
    </row>
    <row r="38" spans="1:9" ht="16.5" customHeight="1" thickBot="1">
      <c r="B38" s="173" t="s">
        <v>208</v>
      </c>
      <c r="C38" s="309" t="s">
        <v>690</v>
      </c>
      <c r="D38" s="309"/>
      <c r="E38" s="309"/>
      <c r="F38" s="310"/>
      <c r="H38" s="172" t="b">
        <f t="shared" si="0"/>
        <v>1</v>
      </c>
      <c r="I38" s="172">
        <f t="shared" si="1"/>
        <v>0.8869100623330366</v>
      </c>
    </row>
    <row r="39" spans="1:9" ht="13.5" thickBot="1">
      <c r="B39" s="174" t="s">
        <v>319</v>
      </c>
      <c r="C39" s="175" t="s">
        <v>320</v>
      </c>
      <c r="D39" s="176" t="s">
        <v>321</v>
      </c>
      <c r="E39" s="176" t="s">
        <v>322</v>
      </c>
      <c r="F39" s="177" t="s">
        <v>323</v>
      </c>
      <c r="H39" s="172" t="b">
        <f t="shared" si="0"/>
        <v>0</v>
      </c>
      <c r="I39" s="172">
        <f t="shared" si="1"/>
        <v>0</v>
      </c>
    </row>
    <row r="40" spans="1:9" ht="15.75" thickBot="1">
      <c r="B40" s="193" t="s">
        <v>335</v>
      </c>
      <c r="C40" s="194" t="s">
        <v>103</v>
      </c>
      <c r="D40" s="195">
        <v>0.2</v>
      </c>
      <c r="E40" s="196">
        <v>0.99600000000000011</v>
      </c>
      <c r="F40" s="197">
        <v>0.8869100623330366</v>
      </c>
      <c r="H40" s="172" t="b">
        <f t="shared" si="0"/>
        <v>0</v>
      </c>
      <c r="I40" s="172">
        <f t="shared" si="1"/>
        <v>0</v>
      </c>
    </row>
    <row r="41" spans="1:9" ht="15">
      <c r="B41" s="190"/>
      <c r="C41" s="191"/>
      <c r="D41" s="192">
        <v>0.2</v>
      </c>
      <c r="E41" s="192">
        <v>0.99600000000000011</v>
      </c>
      <c r="F41" s="191"/>
      <c r="H41" s="172" t="b">
        <f t="shared" si="0"/>
        <v>0</v>
      </c>
      <c r="I41" s="172">
        <f t="shared" si="1"/>
        <v>0</v>
      </c>
    </row>
    <row r="42" spans="1:9" ht="15">
      <c r="B42" s="190"/>
      <c r="C42" s="191"/>
      <c r="D42" s="192"/>
      <c r="E42" s="192"/>
      <c r="F42" s="191"/>
      <c r="H42" s="172" t="b">
        <f t="shared" si="0"/>
        <v>0</v>
      </c>
      <c r="I42" s="172">
        <f t="shared" si="1"/>
        <v>0</v>
      </c>
    </row>
    <row r="43" spans="1:9" ht="15.75" thickBot="1">
      <c r="A43" s="198"/>
      <c r="B43" s="205"/>
      <c r="C43" s="206"/>
      <c r="D43" s="207"/>
      <c r="E43" s="207"/>
      <c r="F43" s="206"/>
      <c r="G43" s="198"/>
      <c r="H43" s="172" t="b">
        <f t="shared" si="0"/>
        <v>0</v>
      </c>
      <c r="I43" s="172">
        <f t="shared" si="1"/>
        <v>0</v>
      </c>
    </row>
    <row r="44" spans="1:9">
      <c r="H44" s="172" t="b">
        <f t="shared" si="0"/>
        <v>0</v>
      </c>
      <c r="I44" s="172">
        <f t="shared" si="1"/>
        <v>0</v>
      </c>
    </row>
    <row r="45" spans="1:9" ht="13.5" thickBot="1">
      <c r="H45" s="172" t="b">
        <f t="shared" si="0"/>
        <v>0</v>
      </c>
      <c r="I45" s="172">
        <f t="shared" si="1"/>
        <v>0</v>
      </c>
    </row>
    <row r="46" spans="1:9" ht="16.5" thickBot="1">
      <c r="B46" s="173" t="s">
        <v>227</v>
      </c>
      <c r="C46" s="309" t="s">
        <v>691</v>
      </c>
      <c r="D46" s="309"/>
      <c r="E46" s="309"/>
      <c r="F46" s="310"/>
      <c r="H46" s="172" t="b">
        <f t="shared" si="0"/>
        <v>1</v>
      </c>
      <c r="I46" s="172">
        <f t="shared" si="1"/>
        <v>0.94280000000000008</v>
      </c>
    </row>
    <row r="47" spans="1:9" ht="13.5" thickBot="1">
      <c r="B47" s="174" t="s">
        <v>319</v>
      </c>
      <c r="C47" s="175" t="s">
        <v>320</v>
      </c>
      <c r="D47" s="176" t="s">
        <v>321</v>
      </c>
      <c r="E47" s="176" t="s">
        <v>322</v>
      </c>
      <c r="F47" s="208" t="s">
        <v>323</v>
      </c>
      <c r="H47" s="172" t="b">
        <f t="shared" si="0"/>
        <v>0</v>
      </c>
      <c r="I47" s="172">
        <f t="shared" si="1"/>
        <v>0</v>
      </c>
    </row>
    <row r="48" spans="1:9" ht="15">
      <c r="B48" s="178" t="s">
        <v>324</v>
      </c>
      <c r="C48" s="179" t="s">
        <v>221</v>
      </c>
      <c r="D48" s="179">
        <v>1.07</v>
      </c>
      <c r="E48" s="180">
        <v>3.9804000000000004</v>
      </c>
      <c r="F48" s="315">
        <v>0.94280000000000008</v>
      </c>
      <c r="H48" s="172" t="b">
        <f t="shared" si="0"/>
        <v>0</v>
      </c>
      <c r="I48" s="172">
        <f t="shared" si="1"/>
        <v>0</v>
      </c>
    </row>
    <row r="49" spans="1:9" ht="15">
      <c r="B49" s="182" t="s">
        <v>325</v>
      </c>
      <c r="C49" s="183" t="s">
        <v>223</v>
      </c>
      <c r="D49" s="183">
        <v>0.21</v>
      </c>
      <c r="E49" s="184">
        <v>0.55649999999999999</v>
      </c>
      <c r="F49" s="316"/>
      <c r="H49" s="172" t="b">
        <f t="shared" si="0"/>
        <v>0</v>
      </c>
      <c r="I49" s="172">
        <f t="shared" si="1"/>
        <v>0</v>
      </c>
    </row>
    <row r="50" spans="1:9" ht="15.75" thickBot="1">
      <c r="B50" s="186" t="s">
        <v>336</v>
      </c>
      <c r="C50" s="187" t="s">
        <v>115</v>
      </c>
      <c r="D50" s="187">
        <v>3.08</v>
      </c>
      <c r="E50" s="188">
        <v>0.17710000000000001</v>
      </c>
      <c r="F50" s="317"/>
      <c r="H50" s="172" t="b">
        <f t="shared" si="0"/>
        <v>0</v>
      </c>
      <c r="I50" s="172">
        <f t="shared" si="1"/>
        <v>0</v>
      </c>
    </row>
    <row r="51" spans="1:9" ht="15">
      <c r="B51" s="190"/>
      <c r="C51" s="191"/>
      <c r="D51" s="192">
        <v>4.3600000000000003</v>
      </c>
      <c r="E51" s="192">
        <v>4.7140000000000004</v>
      </c>
      <c r="F51" s="191"/>
      <c r="H51" s="172" t="b">
        <f t="shared" si="0"/>
        <v>0</v>
      </c>
      <c r="I51" s="172">
        <f t="shared" si="1"/>
        <v>0</v>
      </c>
    </row>
    <row r="52" spans="1:9" ht="15.75" thickBot="1">
      <c r="B52" s="190"/>
      <c r="C52" s="191"/>
      <c r="D52" s="191"/>
      <c r="E52" s="192"/>
      <c r="F52" s="191"/>
      <c r="H52" s="172" t="b">
        <f t="shared" si="0"/>
        <v>0</v>
      </c>
      <c r="I52" s="172">
        <f t="shared" si="1"/>
        <v>0</v>
      </c>
    </row>
    <row r="53" spans="1:9" ht="16.5" customHeight="1" thickBot="1">
      <c r="B53" s="173" t="s">
        <v>227</v>
      </c>
      <c r="C53" s="309" t="s">
        <v>692</v>
      </c>
      <c r="D53" s="309"/>
      <c r="E53" s="309"/>
      <c r="F53" s="310"/>
      <c r="H53" s="172" t="b">
        <f t="shared" si="0"/>
        <v>1</v>
      </c>
      <c r="I53" s="172">
        <f t="shared" si="1"/>
        <v>0.63744000000000001</v>
      </c>
    </row>
    <row r="54" spans="1:9" ht="13.5" thickBot="1">
      <c r="B54" s="174" t="s">
        <v>319</v>
      </c>
      <c r="C54" s="175" t="s">
        <v>320</v>
      </c>
      <c r="D54" s="176" t="s">
        <v>321</v>
      </c>
      <c r="E54" s="176" t="s">
        <v>322</v>
      </c>
      <c r="F54" s="177" t="s">
        <v>323</v>
      </c>
      <c r="H54" s="172" t="b">
        <f t="shared" si="0"/>
        <v>0</v>
      </c>
      <c r="I54" s="172">
        <f t="shared" si="1"/>
        <v>0</v>
      </c>
    </row>
    <row r="55" spans="1:9" ht="15.75" thickBot="1">
      <c r="B55" s="193" t="s">
        <v>335</v>
      </c>
      <c r="C55" s="194" t="s">
        <v>103</v>
      </c>
      <c r="D55" s="195">
        <v>0.64</v>
      </c>
      <c r="E55" s="196">
        <v>3.1872000000000003</v>
      </c>
      <c r="F55" s="197">
        <v>0.63744000000000001</v>
      </c>
      <c r="H55" s="172" t="b">
        <f t="shared" si="0"/>
        <v>0</v>
      </c>
      <c r="I55" s="172">
        <f t="shared" si="1"/>
        <v>0</v>
      </c>
    </row>
    <row r="56" spans="1:9" ht="15">
      <c r="B56" s="190"/>
      <c r="C56" s="191"/>
      <c r="D56" s="192">
        <v>0.64</v>
      </c>
      <c r="E56" s="192">
        <v>3.1872000000000003</v>
      </c>
      <c r="F56" s="191"/>
      <c r="H56" s="172" t="b">
        <f t="shared" si="0"/>
        <v>0</v>
      </c>
      <c r="I56" s="172">
        <f t="shared" si="1"/>
        <v>0</v>
      </c>
    </row>
    <row r="57" spans="1:9">
      <c r="H57" s="172" t="b">
        <f t="shared" si="0"/>
        <v>0</v>
      </c>
      <c r="I57" s="172">
        <f t="shared" si="1"/>
        <v>0</v>
      </c>
    </row>
    <row r="58" spans="1:9" ht="13.5" thickBot="1">
      <c r="A58" s="198"/>
      <c r="B58" s="198"/>
      <c r="C58" s="198"/>
      <c r="D58" s="198"/>
      <c r="E58" s="198"/>
      <c r="F58" s="198"/>
      <c r="G58" s="198"/>
      <c r="H58" s="172" t="b">
        <f t="shared" si="0"/>
        <v>0</v>
      </c>
      <c r="I58" s="172">
        <f t="shared" si="1"/>
        <v>0</v>
      </c>
    </row>
    <row r="59" spans="1:9">
      <c r="H59" s="172" t="b">
        <f t="shared" si="0"/>
        <v>0</v>
      </c>
      <c r="I59" s="172">
        <f t="shared" si="1"/>
        <v>0</v>
      </c>
    </row>
    <row r="60" spans="1:9" ht="13.5" thickBot="1">
      <c r="H60" s="172" t="b">
        <f t="shared" si="0"/>
        <v>0</v>
      </c>
      <c r="I60" s="172">
        <f t="shared" si="1"/>
        <v>0</v>
      </c>
    </row>
    <row r="61" spans="1:9" ht="16.5" thickBot="1">
      <c r="B61" s="173" t="s">
        <v>205</v>
      </c>
      <c r="C61" s="309" t="s">
        <v>693</v>
      </c>
      <c r="D61" s="309"/>
      <c r="E61" s="309"/>
      <c r="F61" s="310"/>
      <c r="H61" s="172" t="b">
        <f t="shared" si="0"/>
        <v>1</v>
      </c>
      <c r="I61" s="172">
        <f t="shared" si="1"/>
        <v>0.75861069465267372</v>
      </c>
    </row>
    <row r="62" spans="1:9" ht="13.5" thickBot="1">
      <c r="B62" s="174" t="s">
        <v>319</v>
      </c>
      <c r="C62" s="175" t="s">
        <v>320</v>
      </c>
      <c r="D62" s="176" t="s">
        <v>321</v>
      </c>
      <c r="E62" s="176" t="s">
        <v>322</v>
      </c>
      <c r="F62" s="208" t="s">
        <v>323</v>
      </c>
      <c r="H62" s="172" t="b">
        <f t="shared" si="0"/>
        <v>0</v>
      </c>
      <c r="I62" s="172">
        <f t="shared" si="1"/>
        <v>0</v>
      </c>
    </row>
    <row r="63" spans="1:9" ht="15">
      <c r="B63" s="178" t="s">
        <v>324</v>
      </c>
      <c r="C63" s="179" t="s">
        <v>221</v>
      </c>
      <c r="D63" s="179">
        <v>0.32200000000000001</v>
      </c>
      <c r="E63" s="180">
        <v>1.19784</v>
      </c>
      <c r="F63" s="315">
        <v>0.75861069465267372</v>
      </c>
      <c r="H63" s="172" t="b">
        <f t="shared" si="0"/>
        <v>0</v>
      </c>
      <c r="I63" s="172">
        <f t="shared" si="1"/>
        <v>0</v>
      </c>
    </row>
    <row r="64" spans="1:9" ht="15">
      <c r="B64" s="182" t="s">
        <v>325</v>
      </c>
      <c r="C64" s="183" t="s">
        <v>223</v>
      </c>
      <c r="D64" s="183">
        <v>6.9000000000000006E-2</v>
      </c>
      <c r="E64" s="184">
        <v>0.18285000000000001</v>
      </c>
      <c r="F64" s="316"/>
      <c r="H64" s="172" t="b">
        <f t="shared" si="0"/>
        <v>0</v>
      </c>
      <c r="I64" s="172">
        <f t="shared" si="1"/>
        <v>0</v>
      </c>
    </row>
    <row r="65" spans="1:9" ht="15">
      <c r="B65" s="209" t="s">
        <v>337</v>
      </c>
      <c r="C65" s="210" t="s">
        <v>256</v>
      </c>
      <c r="D65" s="210">
        <v>2.9000000000000001E-2</v>
      </c>
      <c r="E65" s="211">
        <v>8.4100000000000008E-2</v>
      </c>
      <c r="F65" s="318"/>
      <c r="H65" s="172" t="b">
        <f t="shared" si="0"/>
        <v>0</v>
      </c>
      <c r="I65" s="172">
        <f t="shared" si="1"/>
        <v>0</v>
      </c>
    </row>
    <row r="66" spans="1:9" ht="15">
      <c r="B66" s="209" t="s">
        <v>336</v>
      </c>
      <c r="C66" s="210" t="s">
        <v>115</v>
      </c>
      <c r="D66" s="210">
        <v>0.13800000000000001</v>
      </c>
      <c r="E66" s="211">
        <v>7.9350000000000011E-3</v>
      </c>
      <c r="F66" s="318"/>
      <c r="H66" s="172" t="b">
        <f t="shared" si="0"/>
        <v>0</v>
      </c>
      <c r="I66" s="172">
        <f t="shared" si="1"/>
        <v>0</v>
      </c>
    </row>
    <row r="67" spans="1:9" ht="15">
      <c r="B67" s="209" t="s">
        <v>338</v>
      </c>
      <c r="C67" s="210" t="s">
        <v>117</v>
      </c>
      <c r="D67" s="210">
        <v>0.495</v>
      </c>
      <c r="E67" s="211">
        <v>1.7325E-2</v>
      </c>
      <c r="F67" s="318"/>
      <c r="H67" s="172" t="b">
        <f t="shared" si="0"/>
        <v>0</v>
      </c>
      <c r="I67" s="172">
        <f t="shared" si="1"/>
        <v>0</v>
      </c>
    </row>
    <row r="68" spans="1:9" ht="15.75" thickBot="1">
      <c r="B68" s="186" t="s">
        <v>339</v>
      </c>
      <c r="C68" s="187" t="s">
        <v>340</v>
      </c>
      <c r="D68" s="187">
        <v>0.79800000000000004</v>
      </c>
      <c r="E68" s="188">
        <v>2.7930000000000003E-2</v>
      </c>
      <c r="F68" s="317"/>
      <c r="H68" s="172" t="b">
        <f t="shared" ref="H68:H131" si="2">B69="CODE"</f>
        <v>0</v>
      </c>
      <c r="I68" s="172">
        <f t="shared" ref="I68:I131" si="3">IF(H68,F70,0)</f>
        <v>0</v>
      </c>
    </row>
    <row r="69" spans="1:9" ht="15">
      <c r="B69" s="190"/>
      <c r="C69" s="191"/>
      <c r="D69" s="192">
        <v>1.851</v>
      </c>
      <c r="E69" s="192">
        <v>1.5179800000000001</v>
      </c>
      <c r="F69" s="191"/>
      <c r="H69" s="172" t="b">
        <f t="shared" si="2"/>
        <v>0</v>
      </c>
      <c r="I69" s="172">
        <f t="shared" si="3"/>
        <v>0</v>
      </c>
    </row>
    <row r="70" spans="1:9" ht="15.75" thickBot="1">
      <c r="B70" s="190"/>
      <c r="C70" s="191"/>
      <c r="D70" s="191"/>
      <c r="E70" s="192"/>
      <c r="F70" s="191"/>
      <c r="H70" s="172" t="b">
        <f t="shared" si="2"/>
        <v>0</v>
      </c>
      <c r="I70" s="172">
        <f t="shared" si="3"/>
        <v>0</v>
      </c>
    </row>
    <row r="71" spans="1:9" ht="16.5" customHeight="1" thickBot="1">
      <c r="B71" s="173" t="s">
        <v>205</v>
      </c>
      <c r="C71" s="309" t="s">
        <v>694</v>
      </c>
      <c r="D71" s="309"/>
      <c r="E71" s="309"/>
      <c r="F71" s="310"/>
      <c r="H71" s="172" t="b">
        <f t="shared" si="2"/>
        <v>1</v>
      </c>
      <c r="I71" s="172">
        <f t="shared" si="3"/>
        <v>0.37331334332833588</v>
      </c>
    </row>
    <row r="72" spans="1:9" ht="13.5" thickBot="1">
      <c r="B72" s="174" t="s">
        <v>319</v>
      </c>
      <c r="C72" s="175" t="s">
        <v>320</v>
      </c>
      <c r="D72" s="176" t="s">
        <v>321</v>
      </c>
      <c r="E72" s="176" t="s">
        <v>322</v>
      </c>
      <c r="F72" s="177" t="s">
        <v>323</v>
      </c>
      <c r="H72" s="172" t="b">
        <f t="shared" si="2"/>
        <v>0</v>
      </c>
      <c r="I72" s="172">
        <f t="shared" si="3"/>
        <v>0</v>
      </c>
    </row>
    <row r="73" spans="1:9" ht="15.75" thickBot="1">
      <c r="B73" s="193" t="s">
        <v>335</v>
      </c>
      <c r="C73" s="194" t="s">
        <v>103</v>
      </c>
      <c r="D73" s="195">
        <v>0.15</v>
      </c>
      <c r="E73" s="196">
        <v>0.747</v>
      </c>
      <c r="F73" s="197">
        <v>0.37331334332833588</v>
      </c>
      <c r="H73" s="172" t="b">
        <f t="shared" si="2"/>
        <v>0</v>
      </c>
      <c r="I73" s="172">
        <f t="shared" si="3"/>
        <v>0</v>
      </c>
    </row>
    <row r="74" spans="1:9" ht="15">
      <c r="B74" s="190"/>
      <c r="C74" s="191"/>
      <c r="D74" s="192">
        <v>0.15</v>
      </c>
      <c r="E74" s="192">
        <v>0.747</v>
      </c>
      <c r="F74" s="191"/>
      <c r="H74" s="172" t="b">
        <f t="shared" si="2"/>
        <v>0</v>
      </c>
      <c r="I74" s="172">
        <f t="shared" si="3"/>
        <v>0</v>
      </c>
    </row>
    <row r="75" spans="1:9">
      <c r="H75" s="172" t="b">
        <f t="shared" si="2"/>
        <v>0</v>
      </c>
      <c r="I75" s="172">
        <f t="shared" si="3"/>
        <v>0</v>
      </c>
    </row>
    <row r="76" spans="1:9" ht="13.5" thickBot="1">
      <c r="A76" s="198"/>
      <c r="B76" s="198"/>
      <c r="C76" s="198"/>
      <c r="D76" s="198"/>
      <c r="E76" s="198"/>
      <c r="F76" s="198"/>
      <c r="G76" s="198"/>
      <c r="H76" s="172" t="b">
        <f t="shared" si="2"/>
        <v>0</v>
      </c>
      <c r="I76" s="172">
        <f t="shared" si="3"/>
        <v>0</v>
      </c>
    </row>
    <row r="77" spans="1:9">
      <c r="H77" s="172" t="b">
        <f t="shared" si="2"/>
        <v>0</v>
      </c>
      <c r="I77" s="172">
        <f t="shared" si="3"/>
        <v>0</v>
      </c>
    </row>
    <row r="78" spans="1:9" ht="13.5" thickBot="1">
      <c r="H78" s="172" t="b">
        <f t="shared" si="2"/>
        <v>0</v>
      </c>
      <c r="I78" s="172">
        <f t="shared" si="3"/>
        <v>0</v>
      </c>
    </row>
    <row r="79" spans="1:9" ht="16.5" thickBot="1">
      <c r="B79" s="173" t="s">
        <v>210</v>
      </c>
      <c r="C79" s="309" t="s">
        <v>695</v>
      </c>
      <c r="D79" s="309"/>
      <c r="E79" s="309"/>
      <c r="F79" s="310"/>
      <c r="H79" s="172" t="b">
        <f t="shared" si="2"/>
        <v>1</v>
      </c>
      <c r="I79" s="172">
        <f t="shared" si="3"/>
        <v>6.5440000000000005</v>
      </c>
    </row>
    <row r="80" spans="1:9" ht="13.5" thickBot="1">
      <c r="B80" s="174" t="s">
        <v>319</v>
      </c>
      <c r="C80" s="175" t="s">
        <v>320</v>
      </c>
      <c r="D80" s="176" t="s">
        <v>321</v>
      </c>
      <c r="E80" s="176" t="s">
        <v>322</v>
      </c>
      <c r="F80" s="177" t="s">
        <v>323</v>
      </c>
      <c r="H80" s="172" t="b">
        <f t="shared" si="2"/>
        <v>0</v>
      </c>
      <c r="I80" s="172">
        <f t="shared" si="3"/>
        <v>0</v>
      </c>
    </row>
    <row r="81" spans="1:9" ht="15.75" thickBot="1">
      <c r="B81" s="193" t="s">
        <v>185</v>
      </c>
      <c r="C81" s="194" t="s">
        <v>186</v>
      </c>
      <c r="D81" s="195">
        <v>0.8</v>
      </c>
      <c r="E81" s="196">
        <v>6.5440000000000005</v>
      </c>
      <c r="F81" s="197">
        <v>6.5440000000000005</v>
      </c>
      <c r="H81" s="172" t="b">
        <f t="shared" si="2"/>
        <v>0</v>
      </c>
      <c r="I81" s="172">
        <f t="shared" si="3"/>
        <v>0</v>
      </c>
    </row>
    <row r="82" spans="1:9" ht="15">
      <c r="B82" s="190"/>
      <c r="C82" s="191"/>
      <c r="D82" s="192">
        <v>0.8</v>
      </c>
      <c r="E82" s="192">
        <v>6.5440000000000005</v>
      </c>
      <c r="F82" s="191"/>
      <c r="H82" s="172" t="b">
        <f t="shared" si="2"/>
        <v>0</v>
      </c>
      <c r="I82" s="172">
        <f t="shared" si="3"/>
        <v>0</v>
      </c>
    </row>
    <row r="83" spans="1:9" ht="15.75" thickBot="1">
      <c r="B83" s="190"/>
      <c r="C83" s="191"/>
      <c r="D83" s="191"/>
      <c r="E83" s="192"/>
      <c r="F83" s="191"/>
      <c r="H83" s="172" t="b">
        <f t="shared" si="2"/>
        <v>0</v>
      </c>
      <c r="I83" s="172">
        <f t="shared" si="3"/>
        <v>0</v>
      </c>
    </row>
    <row r="84" spans="1:9" ht="16.5" customHeight="1" thickBot="1">
      <c r="B84" s="173" t="s">
        <v>210</v>
      </c>
      <c r="C84" s="309" t="s">
        <v>696</v>
      </c>
      <c r="D84" s="309"/>
      <c r="E84" s="309"/>
      <c r="F84" s="310"/>
      <c r="H84" s="172" t="b">
        <f t="shared" si="2"/>
        <v>1</v>
      </c>
      <c r="I84" s="172">
        <f t="shared" si="3"/>
        <v>1.6360000000000001</v>
      </c>
    </row>
    <row r="85" spans="1:9" ht="13.5" thickBot="1">
      <c r="B85" s="174" t="s">
        <v>319</v>
      </c>
      <c r="C85" s="175" t="s">
        <v>320</v>
      </c>
      <c r="D85" s="176" t="s">
        <v>321</v>
      </c>
      <c r="E85" s="176" t="s">
        <v>322</v>
      </c>
      <c r="F85" s="177" t="s">
        <v>323</v>
      </c>
      <c r="H85" s="172" t="b">
        <f t="shared" si="2"/>
        <v>0</v>
      </c>
      <c r="I85" s="172">
        <f t="shared" si="3"/>
        <v>0</v>
      </c>
    </row>
    <row r="86" spans="1:9" ht="15.75" thickBot="1">
      <c r="B86" s="193" t="s">
        <v>185</v>
      </c>
      <c r="C86" s="194" t="s">
        <v>186</v>
      </c>
      <c r="D86" s="195">
        <v>0.2</v>
      </c>
      <c r="E86" s="196">
        <v>1.6360000000000001</v>
      </c>
      <c r="F86" s="197">
        <v>1.6360000000000001</v>
      </c>
      <c r="H86" s="172" t="b">
        <f t="shared" si="2"/>
        <v>0</v>
      </c>
      <c r="I86" s="172">
        <f t="shared" si="3"/>
        <v>0</v>
      </c>
    </row>
    <row r="87" spans="1:9" ht="15">
      <c r="B87" s="190"/>
      <c r="C87" s="191"/>
      <c r="D87" s="192">
        <v>0.2</v>
      </c>
      <c r="E87" s="192">
        <v>1.6360000000000001</v>
      </c>
      <c r="F87" s="191"/>
      <c r="H87" s="172" t="b">
        <f t="shared" si="2"/>
        <v>0</v>
      </c>
      <c r="I87" s="172">
        <f t="shared" si="3"/>
        <v>0</v>
      </c>
    </row>
    <row r="88" spans="1:9">
      <c r="H88" s="172" t="b">
        <f t="shared" si="2"/>
        <v>0</v>
      </c>
      <c r="I88" s="172">
        <f t="shared" si="3"/>
        <v>0</v>
      </c>
    </row>
    <row r="89" spans="1:9" ht="13.5" thickBot="1">
      <c r="A89" s="198"/>
      <c r="B89" s="198"/>
      <c r="C89" s="198"/>
      <c r="D89" s="198"/>
      <c r="E89" s="198"/>
      <c r="F89" s="198"/>
      <c r="G89" s="198"/>
      <c r="H89" s="172" t="b">
        <f t="shared" si="2"/>
        <v>0</v>
      </c>
      <c r="I89" s="172">
        <f t="shared" si="3"/>
        <v>0</v>
      </c>
    </row>
    <row r="90" spans="1:9">
      <c r="H90" s="172" t="b">
        <f t="shared" si="2"/>
        <v>0</v>
      </c>
      <c r="I90" s="172">
        <f t="shared" si="3"/>
        <v>0</v>
      </c>
    </row>
    <row r="91" spans="1:9" ht="13.5" thickBot="1">
      <c r="H91" s="172" t="b">
        <f t="shared" si="2"/>
        <v>0</v>
      </c>
      <c r="I91" s="172">
        <f t="shared" si="3"/>
        <v>0</v>
      </c>
    </row>
    <row r="92" spans="1:9" ht="16.5" thickBot="1">
      <c r="B92" s="173" t="s">
        <v>214</v>
      </c>
      <c r="C92" s="309" t="s">
        <v>697</v>
      </c>
      <c r="D92" s="309"/>
      <c r="E92" s="309"/>
      <c r="F92" s="310"/>
      <c r="H92" s="172" t="b">
        <f t="shared" si="2"/>
        <v>1</v>
      </c>
      <c r="I92" s="172">
        <f t="shared" si="3"/>
        <v>2.4924000000000004</v>
      </c>
    </row>
    <row r="93" spans="1:9" ht="13.5" thickBot="1">
      <c r="B93" s="174" t="s">
        <v>319</v>
      </c>
      <c r="C93" s="175" t="s">
        <v>320</v>
      </c>
      <c r="D93" s="176" t="s">
        <v>321</v>
      </c>
      <c r="E93" s="176" t="s">
        <v>322</v>
      </c>
      <c r="F93" s="177" t="s">
        <v>323</v>
      </c>
      <c r="H93" s="172" t="b">
        <f t="shared" si="2"/>
        <v>0</v>
      </c>
      <c r="I93" s="172">
        <f t="shared" si="3"/>
        <v>0</v>
      </c>
    </row>
    <row r="94" spans="1:9" ht="15.75" thickBot="1">
      <c r="B94" s="193" t="s">
        <v>324</v>
      </c>
      <c r="C94" s="194" t="s">
        <v>221</v>
      </c>
      <c r="D94" s="195">
        <v>3.35</v>
      </c>
      <c r="E94" s="196">
        <v>12.462000000000002</v>
      </c>
      <c r="F94" s="197">
        <v>2.4924000000000004</v>
      </c>
      <c r="H94" s="172" t="b">
        <f t="shared" si="2"/>
        <v>0</v>
      </c>
      <c r="I94" s="172">
        <f t="shared" si="3"/>
        <v>0</v>
      </c>
    </row>
    <row r="95" spans="1:9" ht="15">
      <c r="B95" s="190"/>
      <c r="C95" s="191"/>
      <c r="D95" s="192">
        <v>3.35</v>
      </c>
      <c r="E95" s="192">
        <v>12.462000000000002</v>
      </c>
      <c r="F95" s="191"/>
      <c r="H95" s="172" t="b">
        <f t="shared" si="2"/>
        <v>0</v>
      </c>
      <c r="I95" s="172">
        <f t="shared" si="3"/>
        <v>0</v>
      </c>
    </row>
    <row r="96" spans="1:9" ht="15.75" thickBot="1">
      <c r="B96" s="190"/>
      <c r="C96" s="191"/>
      <c r="D96" s="191"/>
      <c r="E96" s="192"/>
      <c r="F96" s="191"/>
      <c r="H96" s="172" t="b">
        <f t="shared" si="2"/>
        <v>0</v>
      </c>
      <c r="I96" s="172">
        <f t="shared" si="3"/>
        <v>0</v>
      </c>
    </row>
    <row r="97" spans="1:9" ht="16.5" thickBot="1">
      <c r="B97" s="173" t="s">
        <v>214</v>
      </c>
      <c r="C97" s="309" t="s">
        <v>698</v>
      </c>
      <c r="D97" s="309"/>
      <c r="E97" s="309"/>
      <c r="F97" s="310"/>
      <c r="H97" s="172" t="b">
        <f t="shared" si="2"/>
        <v>1</v>
      </c>
      <c r="I97" s="172">
        <f t="shared" si="3"/>
        <v>1.6434000000000002</v>
      </c>
    </row>
    <row r="98" spans="1:9" ht="13.5" thickBot="1">
      <c r="B98" s="174" t="s">
        <v>319</v>
      </c>
      <c r="C98" s="175" t="s">
        <v>320</v>
      </c>
      <c r="D98" s="176" t="s">
        <v>321</v>
      </c>
      <c r="E98" s="176" t="s">
        <v>322</v>
      </c>
      <c r="F98" s="177" t="s">
        <v>323</v>
      </c>
      <c r="H98" s="172" t="b">
        <f t="shared" si="2"/>
        <v>0</v>
      </c>
      <c r="I98" s="172">
        <f t="shared" si="3"/>
        <v>0</v>
      </c>
    </row>
    <row r="99" spans="1:9" ht="15.75" thickBot="1">
      <c r="B99" s="193" t="s">
        <v>335</v>
      </c>
      <c r="C99" s="194" t="s">
        <v>103</v>
      </c>
      <c r="D99" s="195">
        <v>1.65</v>
      </c>
      <c r="E99" s="196">
        <v>8.2170000000000005</v>
      </c>
      <c r="F99" s="197">
        <v>1.6434000000000002</v>
      </c>
      <c r="H99" s="172" t="b">
        <f t="shared" si="2"/>
        <v>0</v>
      </c>
      <c r="I99" s="172">
        <f t="shared" si="3"/>
        <v>0</v>
      </c>
    </row>
    <row r="100" spans="1:9" ht="15">
      <c r="B100" s="190"/>
      <c r="C100" s="191"/>
      <c r="D100" s="192">
        <v>1.65</v>
      </c>
      <c r="E100" s="192">
        <v>8.2170000000000005</v>
      </c>
      <c r="F100" s="191"/>
      <c r="H100" s="172" t="b">
        <f t="shared" si="2"/>
        <v>0</v>
      </c>
      <c r="I100" s="172">
        <f t="shared" si="3"/>
        <v>0</v>
      </c>
    </row>
    <row r="101" spans="1:9">
      <c r="H101" s="172" t="b">
        <f t="shared" si="2"/>
        <v>0</v>
      </c>
      <c r="I101" s="172">
        <f t="shared" si="3"/>
        <v>0</v>
      </c>
    </row>
    <row r="102" spans="1:9" ht="13.5" thickBot="1">
      <c r="A102" s="198"/>
      <c r="B102" s="198"/>
      <c r="C102" s="198"/>
      <c r="D102" s="198"/>
      <c r="E102" s="198"/>
      <c r="F102" s="198"/>
      <c r="G102" s="198"/>
      <c r="H102" s="172" t="b">
        <f t="shared" si="2"/>
        <v>0</v>
      </c>
      <c r="I102" s="172">
        <f t="shared" si="3"/>
        <v>0</v>
      </c>
    </row>
    <row r="103" spans="1:9">
      <c r="H103" s="172" t="b">
        <f t="shared" si="2"/>
        <v>0</v>
      </c>
      <c r="I103" s="172">
        <f t="shared" si="3"/>
        <v>0</v>
      </c>
    </row>
    <row r="104" spans="1:9" ht="13.5" thickBot="1">
      <c r="H104" s="172" t="b">
        <f t="shared" si="2"/>
        <v>0</v>
      </c>
      <c r="I104" s="172">
        <f t="shared" si="3"/>
        <v>0</v>
      </c>
    </row>
    <row r="105" spans="1:9" ht="16.5" thickBot="1">
      <c r="B105" s="173" t="s">
        <v>219</v>
      </c>
      <c r="C105" s="309" t="s">
        <v>699</v>
      </c>
      <c r="D105" s="309"/>
      <c r="E105" s="309"/>
      <c r="F105" s="310"/>
      <c r="H105" s="172" t="b">
        <f t="shared" si="2"/>
        <v>1</v>
      </c>
      <c r="I105" s="172">
        <f t="shared" si="3"/>
        <v>1.7768315326130457</v>
      </c>
    </row>
    <row r="106" spans="1:9" ht="13.5" thickBot="1">
      <c r="B106" s="174" t="s">
        <v>319</v>
      </c>
      <c r="C106" s="175" t="s">
        <v>320</v>
      </c>
      <c r="D106" s="176" t="s">
        <v>321</v>
      </c>
      <c r="E106" s="176" t="s">
        <v>322</v>
      </c>
      <c r="F106" s="177" t="s">
        <v>323</v>
      </c>
      <c r="H106" s="172" t="b">
        <f t="shared" si="2"/>
        <v>0</v>
      </c>
      <c r="I106" s="172">
        <f t="shared" si="3"/>
        <v>0</v>
      </c>
    </row>
    <row r="107" spans="1:9" ht="15">
      <c r="B107" s="178" t="s">
        <v>324</v>
      </c>
      <c r="C107" s="199" t="s">
        <v>221</v>
      </c>
      <c r="D107" s="200">
        <v>0.2</v>
      </c>
      <c r="E107" s="181">
        <v>0.74400000000000011</v>
      </c>
      <c r="F107" s="311">
        <v>1.7768315326130457</v>
      </c>
      <c r="H107" s="172" t="b">
        <f t="shared" si="2"/>
        <v>0</v>
      </c>
      <c r="I107" s="172">
        <f t="shared" si="3"/>
        <v>0</v>
      </c>
    </row>
    <row r="108" spans="1:9" ht="15">
      <c r="B108" s="182" t="s">
        <v>325</v>
      </c>
      <c r="C108" s="201" t="s">
        <v>223</v>
      </c>
      <c r="D108" s="202">
        <v>0.3</v>
      </c>
      <c r="E108" s="185">
        <v>0.79499999999999993</v>
      </c>
      <c r="F108" s="312"/>
      <c r="H108" s="172" t="b">
        <f t="shared" si="2"/>
        <v>0</v>
      </c>
      <c r="I108" s="172">
        <f t="shared" si="3"/>
        <v>0</v>
      </c>
    </row>
    <row r="109" spans="1:9" ht="15">
      <c r="B109" s="182" t="s">
        <v>326</v>
      </c>
      <c r="C109" s="201" t="s">
        <v>238</v>
      </c>
      <c r="D109" s="202">
        <v>3.5000000000000001E-3</v>
      </c>
      <c r="E109" s="185">
        <v>2.2085E-2</v>
      </c>
      <c r="F109" s="312"/>
      <c r="H109" s="172" t="b">
        <f t="shared" si="2"/>
        <v>0</v>
      </c>
      <c r="I109" s="172">
        <f t="shared" si="3"/>
        <v>0</v>
      </c>
    </row>
    <row r="110" spans="1:9" ht="15">
      <c r="B110" s="182" t="s">
        <v>327</v>
      </c>
      <c r="C110" s="201" t="s">
        <v>65</v>
      </c>
      <c r="D110" s="202">
        <v>1E-3</v>
      </c>
      <c r="E110" s="185">
        <v>9.5700000000000004E-3</v>
      </c>
      <c r="F110" s="312"/>
      <c r="H110" s="172" t="b">
        <f t="shared" si="2"/>
        <v>0</v>
      </c>
      <c r="I110" s="172">
        <f t="shared" si="3"/>
        <v>0</v>
      </c>
    </row>
    <row r="111" spans="1:9" ht="15">
      <c r="B111" s="182" t="s">
        <v>328</v>
      </c>
      <c r="C111" s="201" t="s">
        <v>235</v>
      </c>
      <c r="D111" s="202">
        <v>3.5000000000000001E-3</v>
      </c>
      <c r="E111" s="185">
        <v>2.9155E-2</v>
      </c>
      <c r="F111" s="312"/>
      <c r="H111" s="172" t="b">
        <f t="shared" si="2"/>
        <v>0</v>
      </c>
      <c r="I111" s="172">
        <f t="shared" si="3"/>
        <v>0</v>
      </c>
    </row>
    <row r="112" spans="1:9" ht="15">
      <c r="B112" s="182" t="s">
        <v>329</v>
      </c>
      <c r="C112" s="201" t="s">
        <v>194</v>
      </c>
      <c r="D112" s="202">
        <v>6.1999999999999998E-3</v>
      </c>
      <c r="E112" s="185">
        <v>1.55E-2</v>
      </c>
      <c r="F112" s="312"/>
      <c r="H112" s="172" t="b">
        <f t="shared" si="2"/>
        <v>0</v>
      </c>
      <c r="I112" s="172">
        <f t="shared" si="3"/>
        <v>0</v>
      </c>
    </row>
    <row r="113" spans="2:9" ht="15">
      <c r="B113" s="182" t="s">
        <v>330</v>
      </c>
      <c r="C113" s="201" t="s">
        <v>192</v>
      </c>
      <c r="D113" s="202">
        <v>6.3799999999999996E-2</v>
      </c>
      <c r="E113" s="185">
        <v>0.40193999999999996</v>
      </c>
      <c r="F113" s="313"/>
      <c r="H113" s="172" t="b">
        <f t="shared" si="2"/>
        <v>0</v>
      </c>
      <c r="I113" s="172">
        <f t="shared" si="3"/>
        <v>0</v>
      </c>
    </row>
    <row r="114" spans="2:9" ht="15">
      <c r="B114" s="182" t="s">
        <v>331</v>
      </c>
      <c r="C114" s="201" t="s">
        <v>332</v>
      </c>
      <c r="D114" s="202">
        <v>0.17799999999999999</v>
      </c>
      <c r="E114" s="185">
        <v>1.6820999999999999E-2</v>
      </c>
      <c r="F114" s="313"/>
      <c r="H114" s="172" t="b">
        <f t="shared" si="2"/>
        <v>0</v>
      </c>
      <c r="I114" s="172">
        <f t="shared" si="3"/>
        <v>0</v>
      </c>
    </row>
    <row r="115" spans="2:9" ht="15">
      <c r="B115" s="182" t="s">
        <v>333</v>
      </c>
      <c r="C115" s="201" t="s">
        <v>127</v>
      </c>
      <c r="D115" s="202">
        <v>0.22</v>
      </c>
      <c r="E115" s="185">
        <v>9.9440000000000001E-2</v>
      </c>
      <c r="F115" s="313"/>
      <c r="H115" s="172" t="b">
        <f t="shared" si="2"/>
        <v>0</v>
      </c>
      <c r="I115" s="172">
        <f t="shared" si="3"/>
        <v>0</v>
      </c>
    </row>
    <row r="116" spans="2:9" ht="15">
      <c r="B116" s="182" t="s">
        <v>334</v>
      </c>
      <c r="C116" s="183" t="s">
        <v>129</v>
      </c>
      <c r="D116" s="212">
        <v>8.5000000000000006E-3</v>
      </c>
      <c r="E116" s="213">
        <v>6.8339999999999998E-2</v>
      </c>
      <c r="F116" s="313"/>
      <c r="H116" s="172" t="b">
        <f t="shared" si="2"/>
        <v>0</v>
      </c>
      <c r="I116" s="172">
        <f t="shared" si="3"/>
        <v>0</v>
      </c>
    </row>
    <row r="117" spans="2:9" ht="15.75" thickBot="1">
      <c r="B117" s="214" t="s">
        <v>187</v>
      </c>
      <c r="C117" s="215" t="s">
        <v>188</v>
      </c>
      <c r="D117" s="204">
        <v>1.4999999999999999E-2</v>
      </c>
      <c r="E117" s="189">
        <v>1.83E-2</v>
      </c>
      <c r="F117" s="314"/>
      <c r="H117" s="172" t="b">
        <f t="shared" si="2"/>
        <v>0</v>
      </c>
      <c r="I117" s="172">
        <f t="shared" si="3"/>
        <v>0</v>
      </c>
    </row>
    <row r="118" spans="2:9" ht="15">
      <c r="B118" s="190"/>
      <c r="C118" s="191"/>
      <c r="D118" s="192">
        <v>0.99949999999999972</v>
      </c>
      <c r="E118" s="192">
        <v>2.2201510000000004</v>
      </c>
      <c r="F118" s="191"/>
      <c r="H118" s="172" t="b">
        <f t="shared" si="2"/>
        <v>0</v>
      </c>
      <c r="I118" s="172">
        <f t="shared" si="3"/>
        <v>0</v>
      </c>
    </row>
    <row r="119" spans="2:9" ht="15.75" thickBot="1">
      <c r="B119" s="190"/>
      <c r="C119" s="191"/>
      <c r="D119" s="191"/>
      <c r="E119" s="192"/>
      <c r="F119" s="191"/>
      <c r="H119" s="172" t="b">
        <f t="shared" si="2"/>
        <v>0</v>
      </c>
      <c r="I119" s="172">
        <f t="shared" si="3"/>
        <v>0</v>
      </c>
    </row>
    <row r="120" spans="2:9" ht="16.5" thickBot="1">
      <c r="B120" s="173" t="s">
        <v>219</v>
      </c>
      <c r="C120" s="309" t="s">
        <v>700</v>
      </c>
      <c r="D120" s="309"/>
      <c r="E120" s="309"/>
      <c r="F120" s="310"/>
      <c r="H120" s="172" t="b">
        <f t="shared" si="2"/>
        <v>1</v>
      </c>
      <c r="I120" s="172">
        <f t="shared" si="3"/>
        <v>0.99639855942376976</v>
      </c>
    </row>
    <row r="121" spans="2:9" ht="13.5" thickBot="1">
      <c r="B121" s="174" t="s">
        <v>319</v>
      </c>
      <c r="C121" s="175" t="s">
        <v>320</v>
      </c>
      <c r="D121" s="176" t="s">
        <v>321</v>
      </c>
      <c r="E121" s="176" t="s">
        <v>322</v>
      </c>
      <c r="F121" s="177" t="s">
        <v>323</v>
      </c>
      <c r="H121" s="172" t="b">
        <f t="shared" si="2"/>
        <v>0</v>
      </c>
      <c r="I121" s="172">
        <f t="shared" si="3"/>
        <v>0</v>
      </c>
    </row>
    <row r="122" spans="2:9" ht="15.75" thickBot="1">
      <c r="B122" s="193" t="s">
        <v>335</v>
      </c>
      <c r="C122" s="194" t="s">
        <v>103</v>
      </c>
      <c r="D122" s="195">
        <v>0.25</v>
      </c>
      <c r="E122" s="196">
        <v>1.2450000000000001</v>
      </c>
      <c r="F122" s="197">
        <v>0.99639855942376976</v>
      </c>
      <c r="H122" s="172" t="b">
        <f t="shared" si="2"/>
        <v>0</v>
      </c>
      <c r="I122" s="172">
        <f t="shared" si="3"/>
        <v>0</v>
      </c>
    </row>
    <row r="123" spans="2:9" ht="15">
      <c r="B123" s="190"/>
      <c r="C123" s="191"/>
      <c r="D123" s="192">
        <v>0.25</v>
      </c>
      <c r="E123" s="192">
        <v>1.2450000000000001</v>
      </c>
      <c r="F123" s="191"/>
      <c r="H123" s="172" t="b">
        <f t="shared" si="2"/>
        <v>0</v>
      </c>
      <c r="I123" s="172">
        <f t="shared" si="3"/>
        <v>0</v>
      </c>
    </row>
    <row r="124" spans="2:9" ht="13.5" thickBot="1">
      <c r="H124" s="172" t="b">
        <f t="shared" si="2"/>
        <v>0</v>
      </c>
      <c r="I124" s="172">
        <f t="shared" si="3"/>
        <v>0</v>
      </c>
    </row>
    <row r="125" spans="2:9" ht="16.5" thickBot="1">
      <c r="B125" s="173" t="s">
        <v>219</v>
      </c>
      <c r="C125" s="309" t="s">
        <v>701</v>
      </c>
      <c r="D125" s="309"/>
      <c r="E125" s="309"/>
      <c r="F125" s="310"/>
      <c r="H125" s="172" t="b">
        <f t="shared" si="2"/>
        <v>1</v>
      </c>
      <c r="I125" s="172">
        <f t="shared" si="3"/>
        <v>0.18638337220926357</v>
      </c>
    </row>
    <row r="126" spans="2:9" ht="13.5" thickBot="1">
      <c r="B126" s="174" t="s">
        <v>319</v>
      </c>
      <c r="C126" s="175" t="s">
        <v>320</v>
      </c>
      <c r="D126" s="176" t="s">
        <v>321</v>
      </c>
      <c r="E126" s="176" t="s">
        <v>322</v>
      </c>
      <c r="F126" s="208" t="s">
        <v>323</v>
      </c>
      <c r="H126" s="172" t="b">
        <f t="shared" si="2"/>
        <v>0</v>
      </c>
      <c r="I126" s="172">
        <f t="shared" si="3"/>
        <v>0</v>
      </c>
    </row>
    <row r="127" spans="2:9" ht="15">
      <c r="B127" s="216" t="s">
        <v>336</v>
      </c>
      <c r="C127" s="217" t="s">
        <v>115</v>
      </c>
      <c r="D127" s="200">
        <v>0.16437499999999999</v>
      </c>
      <c r="E127" s="181">
        <v>9.4515624999999999E-3</v>
      </c>
      <c r="F127" s="311">
        <v>0.18638337220926357</v>
      </c>
      <c r="H127" s="172" t="b">
        <f t="shared" si="2"/>
        <v>0</v>
      </c>
      <c r="I127" s="172">
        <f t="shared" si="3"/>
        <v>0</v>
      </c>
    </row>
    <row r="128" spans="2:9" ht="15">
      <c r="B128" s="209" t="s">
        <v>338</v>
      </c>
      <c r="C128" s="210" t="s">
        <v>117</v>
      </c>
      <c r="D128" s="202">
        <v>8.5625000000000007E-2</v>
      </c>
      <c r="E128" s="185">
        <v>2.9968750000000004E-3</v>
      </c>
      <c r="F128" s="312"/>
      <c r="H128" s="172" t="b">
        <f t="shared" si="2"/>
        <v>0</v>
      </c>
      <c r="I128" s="172">
        <f t="shared" si="3"/>
        <v>0</v>
      </c>
    </row>
    <row r="129" spans="2:9" ht="15">
      <c r="B129" s="209" t="s">
        <v>339</v>
      </c>
      <c r="C129" s="183" t="s">
        <v>340</v>
      </c>
      <c r="D129" s="202">
        <v>8.5625000000000007E-2</v>
      </c>
      <c r="E129" s="185">
        <v>2.9968750000000004E-3</v>
      </c>
      <c r="F129" s="312"/>
      <c r="H129" s="172" t="b">
        <f t="shared" si="2"/>
        <v>0</v>
      </c>
      <c r="I129" s="172">
        <f t="shared" si="3"/>
        <v>0</v>
      </c>
    </row>
    <row r="130" spans="2:9" ht="15">
      <c r="B130" s="182" t="s">
        <v>341</v>
      </c>
      <c r="C130" s="183" t="s">
        <v>342</v>
      </c>
      <c r="D130" s="202">
        <v>1.151875</v>
      </c>
      <c r="E130" s="185">
        <v>4.0315625000000001E-2</v>
      </c>
      <c r="F130" s="312"/>
      <c r="H130" s="172" t="b">
        <f t="shared" si="2"/>
        <v>0</v>
      </c>
      <c r="I130" s="172">
        <f t="shared" si="3"/>
        <v>0</v>
      </c>
    </row>
    <row r="131" spans="2:9" ht="15">
      <c r="B131" s="218" t="s">
        <v>343</v>
      </c>
      <c r="C131" s="219" t="s">
        <v>101</v>
      </c>
      <c r="D131" s="202">
        <v>0.32937499999999997</v>
      </c>
      <c r="E131" s="185">
        <v>3.5243124999999993E-2</v>
      </c>
      <c r="F131" s="312"/>
      <c r="H131" s="172" t="b">
        <f t="shared" si="2"/>
        <v>0</v>
      </c>
      <c r="I131" s="172">
        <f t="shared" si="3"/>
        <v>0</v>
      </c>
    </row>
    <row r="132" spans="2:9" ht="15">
      <c r="B132" s="182" t="s">
        <v>302</v>
      </c>
      <c r="C132" s="201" t="s">
        <v>682</v>
      </c>
      <c r="D132" s="202">
        <v>3.3125000000000002E-2</v>
      </c>
      <c r="E132" s="185">
        <v>0.15568750000000001</v>
      </c>
      <c r="F132" s="312"/>
      <c r="H132" s="172" t="b">
        <f t="shared" ref="H132:H195" si="4">B133="CODE"</f>
        <v>0</v>
      </c>
      <c r="I132" s="172">
        <f t="shared" ref="I132:I195" si="5">IF(H132,F134,0)</f>
        <v>0</v>
      </c>
    </row>
    <row r="133" spans="2:9" ht="15">
      <c r="B133" s="182" t="s">
        <v>303</v>
      </c>
      <c r="C133" s="201" t="s">
        <v>304</v>
      </c>
      <c r="D133" s="202">
        <v>1.8124999999999999E-2</v>
      </c>
      <c r="E133" s="185">
        <v>4.259375E-2</v>
      </c>
      <c r="F133" s="313"/>
      <c r="H133" s="172" t="b">
        <f t="shared" si="4"/>
        <v>0</v>
      </c>
      <c r="I133" s="172">
        <f t="shared" si="5"/>
        <v>0</v>
      </c>
    </row>
    <row r="134" spans="2:9" ht="15.75" thickBot="1">
      <c r="B134" s="186" t="s">
        <v>334</v>
      </c>
      <c r="C134" s="187" t="s">
        <v>129</v>
      </c>
      <c r="D134" s="204">
        <v>7.4999999999999997E-3</v>
      </c>
      <c r="E134" s="189">
        <v>6.0299999999999992E-2</v>
      </c>
      <c r="F134" s="314"/>
      <c r="H134" s="172" t="b">
        <f t="shared" si="4"/>
        <v>0</v>
      </c>
      <c r="I134" s="172">
        <f t="shared" si="5"/>
        <v>0</v>
      </c>
    </row>
    <row r="135" spans="2:9" ht="15">
      <c r="B135" s="190"/>
      <c r="C135" s="191"/>
      <c r="D135" s="192">
        <v>1.8756250000000001</v>
      </c>
      <c r="E135" s="192">
        <v>0.34958531250000002</v>
      </c>
      <c r="F135" s="191"/>
      <c r="H135" s="172" t="b">
        <f t="shared" si="4"/>
        <v>0</v>
      </c>
      <c r="I135" s="172">
        <f t="shared" si="5"/>
        <v>0</v>
      </c>
    </row>
    <row r="136" spans="2:9" ht="13.5" thickBot="1">
      <c r="H136" s="172" t="b">
        <f t="shared" si="4"/>
        <v>0</v>
      </c>
      <c r="I136" s="172">
        <f t="shared" si="5"/>
        <v>0</v>
      </c>
    </row>
    <row r="137" spans="2:9" ht="16.5" thickBot="1">
      <c r="B137" s="220" t="s">
        <v>196</v>
      </c>
      <c r="C137" s="309" t="s">
        <v>197</v>
      </c>
      <c r="D137" s="309"/>
      <c r="E137" s="309"/>
      <c r="F137" s="310"/>
      <c r="H137" s="172" t="b">
        <f t="shared" si="4"/>
        <v>1</v>
      </c>
      <c r="I137" s="172">
        <f t="shared" si="5"/>
        <v>1.43</v>
      </c>
    </row>
    <row r="138" spans="2:9" ht="13.5" thickBot="1">
      <c r="B138" s="174" t="s">
        <v>319</v>
      </c>
      <c r="C138" s="175" t="s">
        <v>320</v>
      </c>
      <c r="D138" s="176" t="s">
        <v>321</v>
      </c>
      <c r="E138" s="176" t="s">
        <v>322</v>
      </c>
      <c r="F138" s="177" t="s">
        <v>323</v>
      </c>
      <c r="H138" s="172" t="b">
        <f t="shared" si="4"/>
        <v>0</v>
      </c>
      <c r="I138" s="172">
        <f t="shared" si="5"/>
        <v>0</v>
      </c>
    </row>
    <row r="139" spans="2:9" ht="15.75" thickBot="1">
      <c r="B139" s="193" t="s">
        <v>189</v>
      </c>
      <c r="C139" s="194" t="s">
        <v>190</v>
      </c>
      <c r="D139" s="195">
        <v>25</v>
      </c>
      <c r="E139" s="196">
        <v>35.75</v>
      </c>
      <c r="F139" s="197">
        <v>1.43</v>
      </c>
      <c r="H139" s="172" t="b">
        <f t="shared" si="4"/>
        <v>0</v>
      </c>
      <c r="I139" s="172">
        <f t="shared" si="5"/>
        <v>0</v>
      </c>
    </row>
    <row r="140" spans="2:9" ht="15">
      <c r="B140" s="190"/>
      <c r="C140" s="191"/>
      <c r="D140" s="192">
        <v>25</v>
      </c>
      <c r="E140" s="192">
        <v>35.75</v>
      </c>
      <c r="F140" s="191"/>
      <c r="H140" s="172" t="b">
        <f t="shared" si="4"/>
        <v>0</v>
      </c>
      <c r="I140" s="172">
        <f t="shared" si="5"/>
        <v>0</v>
      </c>
    </row>
    <row r="141" spans="2:9" ht="15">
      <c r="B141" s="190"/>
      <c r="C141" s="191"/>
      <c r="D141" s="192"/>
      <c r="E141" s="192"/>
      <c r="F141" s="191"/>
      <c r="H141" s="172" t="b">
        <f t="shared" si="4"/>
        <v>0</v>
      </c>
      <c r="I141" s="172">
        <f t="shared" si="5"/>
        <v>0</v>
      </c>
    </row>
    <row r="142" spans="2:9" ht="15.75" thickBot="1">
      <c r="B142" s="205"/>
      <c r="C142" s="206"/>
      <c r="D142" s="207"/>
      <c r="E142" s="207"/>
      <c r="F142" s="206"/>
      <c r="H142" s="172" t="b">
        <f t="shared" si="4"/>
        <v>0</v>
      </c>
      <c r="I142" s="172">
        <f t="shared" si="5"/>
        <v>0</v>
      </c>
    </row>
    <row r="143" spans="2:9">
      <c r="H143" s="172" t="b">
        <f t="shared" si="4"/>
        <v>0</v>
      </c>
      <c r="I143" s="172">
        <f t="shared" si="5"/>
        <v>0</v>
      </c>
    </row>
    <row r="144" spans="2:9" ht="13.5" thickBot="1">
      <c r="H144" s="172" t="b">
        <f t="shared" si="4"/>
        <v>0</v>
      </c>
      <c r="I144" s="172">
        <f t="shared" si="5"/>
        <v>0</v>
      </c>
    </row>
    <row r="145" spans="2:9" ht="16.5" thickBot="1">
      <c r="B145" s="220" t="s">
        <v>61</v>
      </c>
      <c r="C145" s="309" t="s">
        <v>703</v>
      </c>
      <c r="D145" s="309"/>
      <c r="E145" s="309"/>
      <c r="F145" s="310"/>
      <c r="H145" s="172" t="b">
        <f t="shared" si="4"/>
        <v>1</v>
      </c>
      <c r="I145" s="172">
        <f t="shared" si="5"/>
        <v>0.97887075999999995</v>
      </c>
    </row>
    <row r="146" spans="2:9" ht="13.5" thickBot="1">
      <c r="B146" s="174" t="s">
        <v>319</v>
      </c>
      <c r="C146" s="175" t="s">
        <v>320</v>
      </c>
      <c r="D146" s="176" t="s">
        <v>321</v>
      </c>
      <c r="E146" s="176" t="s">
        <v>322</v>
      </c>
      <c r="F146" s="208" t="s">
        <v>323</v>
      </c>
      <c r="H146" s="172" t="b">
        <f t="shared" si="4"/>
        <v>0</v>
      </c>
      <c r="I146" s="172">
        <f t="shared" si="5"/>
        <v>0</v>
      </c>
    </row>
    <row r="147" spans="2:9" ht="15">
      <c r="B147" s="178" t="s">
        <v>344</v>
      </c>
      <c r="C147" s="179" t="s">
        <v>140</v>
      </c>
      <c r="D147" s="180">
        <v>10.17</v>
      </c>
      <c r="E147" s="180">
        <v>24.407999999999998</v>
      </c>
      <c r="F147" s="319">
        <v>0.97887075999999995</v>
      </c>
      <c r="H147" s="172" t="b">
        <f t="shared" si="4"/>
        <v>0</v>
      </c>
      <c r="I147" s="172">
        <f t="shared" si="5"/>
        <v>0</v>
      </c>
    </row>
    <row r="148" spans="2:9" ht="15.75" thickBot="1">
      <c r="B148" s="186" t="s">
        <v>704</v>
      </c>
      <c r="C148" s="187" t="s">
        <v>306</v>
      </c>
      <c r="D148" s="188">
        <v>14.83</v>
      </c>
      <c r="E148" s="188">
        <v>6.3769000000000006E-2</v>
      </c>
      <c r="F148" s="320"/>
      <c r="H148" s="172" t="b">
        <f t="shared" si="4"/>
        <v>0</v>
      </c>
      <c r="I148" s="172">
        <f t="shared" si="5"/>
        <v>0</v>
      </c>
    </row>
    <row r="149" spans="2:9" ht="15">
      <c r="B149" s="190"/>
      <c r="C149" s="191"/>
      <c r="D149" s="192">
        <v>25</v>
      </c>
      <c r="E149" s="192">
        <v>24.471768999999998</v>
      </c>
      <c r="F149" s="191"/>
      <c r="H149" s="172" t="b">
        <f t="shared" si="4"/>
        <v>0</v>
      </c>
      <c r="I149" s="172">
        <f t="shared" si="5"/>
        <v>0</v>
      </c>
    </row>
    <row r="150" spans="2:9">
      <c r="H150" s="172" t="b">
        <f t="shared" si="4"/>
        <v>0</v>
      </c>
      <c r="I150" s="172">
        <f t="shared" si="5"/>
        <v>0</v>
      </c>
    </row>
    <row r="151" spans="2:9" ht="13.5" thickBot="1">
      <c r="B151" s="198"/>
      <c r="C151" s="198"/>
      <c r="D151" s="198"/>
      <c r="E151" s="198"/>
      <c r="F151" s="198"/>
      <c r="H151" s="172" t="b">
        <f t="shared" si="4"/>
        <v>0</v>
      </c>
      <c r="I151" s="172">
        <f t="shared" si="5"/>
        <v>0</v>
      </c>
    </row>
    <row r="152" spans="2:9">
      <c r="H152" s="172" t="b">
        <f t="shared" si="4"/>
        <v>0</v>
      </c>
      <c r="I152" s="172">
        <f t="shared" si="5"/>
        <v>0</v>
      </c>
    </row>
    <row r="153" spans="2:9" ht="13.5" thickBot="1">
      <c r="H153" s="172" t="b">
        <f t="shared" si="4"/>
        <v>0</v>
      </c>
      <c r="I153" s="172">
        <f t="shared" si="5"/>
        <v>0</v>
      </c>
    </row>
    <row r="154" spans="2:9" ht="16.5" thickBot="1">
      <c r="B154" s="220" t="s">
        <v>106</v>
      </c>
      <c r="C154" s="309" t="s">
        <v>705</v>
      </c>
      <c r="D154" s="309"/>
      <c r="E154" s="309"/>
      <c r="F154" s="310"/>
      <c r="H154" s="172" t="b">
        <f t="shared" si="4"/>
        <v>1</v>
      </c>
      <c r="I154" s="172">
        <f t="shared" si="5"/>
        <v>1.2</v>
      </c>
    </row>
    <row r="155" spans="2:9" ht="13.5" thickBot="1">
      <c r="B155" s="174" t="s">
        <v>319</v>
      </c>
      <c r="C155" s="175" t="s">
        <v>320</v>
      </c>
      <c r="D155" s="176" t="s">
        <v>321</v>
      </c>
      <c r="E155" s="176" t="s">
        <v>322</v>
      </c>
      <c r="F155" s="177" t="s">
        <v>323</v>
      </c>
      <c r="H155" s="172" t="b">
        <f t="shared" si="4"/>
        <v>0</v>
      </c>
      <c r="I155" s="172">
        <f t="shared" si="5"/>
        <v>0</v>
      </c>
    </row>
    <row r="156" spans="2:9" ht="15.75" thickBot="1">
      <c r="B156" s="193" t="s">
        <v>345</v>
      </c>
      <c r="C156" s="194" t="s">
        <v>258</v>
      </c>
      <c r="D156" s="195">
        <v>25</v>
      </c>
      <c r="E156" s="196">
        <v>30</v>
      </c>
      <c r="F156" s="197">
        <v>1.2</v>
      </c>
      <c r="H156" s="172" t="b">
        <f t="shared" si="4"/>
        <v>0</v>
      </c>
      <c r="I156" s="172">
        <f t="shared" si="5"/>
        <v>0</v>
      </c>
    </row>
    <row r="157" spans="2:9" ht="15">
      <c r="B157" s="190"/>
      <c r="C157" s="191"/>
      <c r="D157" s="192">
        <v>25</v>
      </c>
      <c r="E157" s="192">
        <v>30</v>
      </c>
      <c r="F157" s="191"/>
      <c r="H157" s="172" t="b">
        <f t="shared" si="4"/>
        <v>0</v>
      </c>
      <c r="I157" s="172">
        <f t="shared" si="5"/>
        <v>0</v>
      </c>
    </row>
    <row r="158" spans="2:9">
      <c r="H158" s="172" t="b">
        <f t="shared" si="4"/>
        <v>0</v>
      </c>
      <c r="I158" s="172">
        <f t="shared" si="5"/>
        <v>0</v>
      </c>
    </row>
    <row r="159" spans="2:9" ht="13.5" thickBot="1">
      <c r="B159" s="198"/>
      <c r="C159" s="198"/>
      <c r="D159" s="198"/>
      <c r="E159" s="198"/>
      <c r="F159" s="198"/>
      <c r="H159" s="172" t="b">
        <f t="shared" si="4"/>
        <v>0</v>
      </c>
      <c r="I159" s="172">
        <f t="shared" si="5"/>
        <v>0</v>
      </c>
    </row>
    <row r="160" spans="2:9">
      <c r="H160" s="172" t="b">
        <f t="shared" si="4"/>
        <v>0</v>
      </c>
      <c r="I160" s="172">
        <f t="shared" si="5"/>
        <v>0</v>
      </c>
    </row>
    <row r="161" spans="2:9" ht="13.5" thickBot="1">
      <c r="H161" s="172" t="b">
        <f t="shared" si="4"/>
        <v>0</v>
      </c>
      <c r="I161" s="172">
        <f t="shared" si="5"/>
        <v>0</v>
      </c>
    </row>
    <row r="162" spans="2:9" ht="16.5" thickBot="1">
      <c r="B162" s="220" t="s">
        <v>225</v>
      </c>
      <c r="C162" s="309" t="s">
        <v>706</v>
      </c>
      <c r="D162" s="309"/>
      <c r="E162" s="309"/>
      <c r="F162" s="310"/>
      <c r="H162" s="172" t="b">
        <f t="shared" si="4"/>
        <v>1</v>
      </c>
      <c r="I162" s="172">
        <f t="shared" si="5"/>
        <v>9.4500000000000001E-2</v>
      </c>
    </row>
    <row r="163" spans="2:9" ht="13.5" thickBot="1">
      <c r="B163" s="174" t="s">
        <v>319</v>
      </c>
      <c r="C163" s="175" t="s">
        <v>320</v>
      </c>
      <c r="D163" s="176" t="s">
        <v>321</v>
      </c>
      <c r="E163" s="176" t="s">
        <v>322</v>
      </c>
      <c r="F163" s="177" t="s">
        <v>323</v>
      </c>
      <c r="H163" s="172" t="b">
        <f t="shared" si="4"/>
        <v>0</v>
      </c>
      <c r="I163" s="172">
        <f t="shared" si="5"/>
        <v>0</v>
      </c>
    </row>
    <row r="164" spans="2:9" ht="15.75" thickBot="1">
      <c r="B164" s="193" t="s">
        <v>331</v>
      </c>
      <c r="C164" s="194" t="s">
        <v>346</v>
      </c>
      <c r="D164" s="195">
        <v>10</v>
      </c>
      <c r="E164" s="196">
        <v>0.94500000000000006</v>
      </c>
      <c r="F164" s="197">
        <v>9.4500000000000001E-2</v>
      </c>
      <c r="H164" s="172" t="b">
        <f t="shared" si="4"/>
        <v>0</v>
      </c>
      <c r="I164" s="172">
        <f t="shared" si="5"/>
        <v>0</v>
      </c>
    </row>
    <row r="165" spans="2:9" ht="15">
      <c r="B165" s="190"/>
      <c r="C165" s="191"/>
      <c r="D165" s="192">
        <v>10</v>
      </c>
      <c r="E165" s="192">
        <v>0.94500000000000006</v>
      </c>
      <c r="F165" s="191"/>
      <c r="H165" s="172" t="b">
        <f t="shared" si="4"/>
        <v>0</v>
      </c>
      <c r="I165" s="172">
        <f t="shared" si="5"/>
        <v>0</v>
      </c>
    </row>
    <row r="166" spans="2:9" ht="13.5" thickBot="1">
      <c r="H166" s="172" t="b">
        <f t="shared" si="4"/>
        <v>0</v>
      </c>
      <c r="I166" s="172">
        <f t="shared" si="5"/>
        <v>0</v>
      </c>
    </row>
    <row r="167" spans="2:9" ht="16.5" thickBot="1">
      <c r="B167" s="173" t="s">
        <v>149</v>
      </c>
      <c r="C167" s="309" t="s">
        <v>707</v>
      </c>
      <c r="D167" s="309"/>
      <c r="E167" s="309"/>
      <c r="F167" s="310"/>
      <c r="H167" s="172" t="b">
        <f t="shared" si="4"/>
        <v>1</v>
      </c>
      <c r="I167" s="172">
        <f t="shared" si="5"/>
        <v>7.2178950483330034E-2</v>
      </c>
    </row>
    <row r="168" spans="2:9" ht="13.5" thickBot="1">
      <c r="B168" s="221" t="s">
        <v>319</v>
      </c>
      <c r="C168" s="222" t="s">
        <v>320</v>
      </c>
      <c r="D168" s="223" t="s">
        <v>321</v>
      </c>
      <c r="E168" s="223" t="s">
        <v>322</v>
      </c>
      <c r="F168" s="177" t="s">
        <v>323</v>
      </c>
      <c r="H168" s="172" t="b">
        <f t="shared" si="4"/>
        <v>0</v>
      </c>
      <c r="I168" s="172">
        <f t="shared" si="5"/>
        <v>0</v>
      </c>
    </row>
    <row r="169" spans="2:9" ht="15">
      <c r="B169" s="224" t="s">
        <v>343</v>
      </c>
      <c r="C169" s="225" t="s">
        <v>101</v>
      </c>
      <c r="D169" s="226">
        <v>360</v>
      </c>
      <c r="E169" s="227">
        <v>38.519999999999996</v>
      </c>
      <c r="F169" s="321">
        <v>7.2178950483330034E-2</v>
      </c>
      <c r="H169" s="172" t="b">
        <f t="shared" si="4"/>
        <v>0</v>
      </c>
      <c r="I169" s="172">
        <f t="shared" si="5"/>
        <v>0</v>
      </c>
    </row>
    <row r="170" spans="2:9" ht="15">
      <c r="B170" s="228" t="s">
        <v>338</v>
      </c>
      <c r="C170" s="229" t="s">
        <v>117</v>
      </c>
      <c r="D170" s="183">
        <v>150</v>
      </c>
      <c r="E170" s="184">
        <v>5.2500000000000009</v>
      </c>
      <c r="F170" s="316"/>
      <c r="H170" s="172" t="b">
        <f t="shared" si="4"/>
        <v>0</v>
      </c>
      <c r="I170" s="172">
        <f t="shared" si="5"/>
        <v>0</v>
      </c>
    </row>
    <row r="171" spans="2:9" ht="15">
      <c r="B171" s="228" t="s">
        <v>339</v>
      </c>
      <c r="C171" s="229" t="s">
        <v>119</v>
      </c>
      <c r="D171" s="183">
        <v>150</v>
      </c>
      <c r="E171" s="184">
        <v>5.2500000000000009</v>
      </c>
      <c r="F171" s="316"/>
      <c r="H171" s="172" t="b">
        <f t="shared" si="4"/>
        <v>0</v>
      </c>
      <c r="I171" s="172">
        <f t="shared" si="5"/>
        <v>0</v>
      </c>
    </row>
    <row r="172" spans="2:9" ht="15">
      <c r="B172" s="228" t="s">
        <v>341</v>
      </c>
      <c r="C172" s="229" t="s">
        <v>121</v>
      </c>
      <c r="D172" s="183">
        <v>150</v>
      </c>
      <c r="E172" s="184">
        <v>5.2500000000000009</v>
      </c>
      <c r="F172" s="316"/>
      <c r="H172" s="172" t="b">
        <f t="shared" si="4"/>
        <v>0</v>
      </c>
      <c r="I172" s="172">
        <f t="shared" si="5"/>
        <v>0</v>
      </c>
    </row>
    <row r="173" spans="2:9" ht="15">
      <c r="B173" s="228" t="s">
        <v>347</v>
      </c>
      <c r="C173" s="229" t="s">
        <v>123</v>
      </c>
      <c r="D173" s="183">
        <v>200</v>
      </c>
      <c r="E173" s="184">
        <v>7.0000000000000009</v>
      </c>
      <c r="F173" s="316"/>
      <c r="H173" s="172" t="b">
        <f t="shared" si="4"/>
        <v>0</v>
      </c>
      <c r="I173" s="172">
        <f t="shared" si="5"/>
        <v>0</v>
      </c>
    </row>
    <row r="174" spans="2:9" ht="15.75" thickBot="1">
      <c r="B174" s="230" t="s">
        <v>239</v>
      </c>
      <c r="C174" s="231" t="s">
        <v>240</v>
      </c>
      <c r="D174" s="187">
        <v>3.8</v>
      </c>
      <c r="E174" s="188">
        <v>11.905019999999999</v>
      </c>
      <c r="F174" s="322"/>
      <c r="H174" s="172" t="b">
        <f t="shared" si="4"/>
        <v>0</v>
      </c>
      <c r="I174" s="172">
        <f t="shared" si="5"/>
        <v>0</v>
      </c>
    </row>
    <row r="175" spans="2:9" ht="15">
      <c r="B175" s="190"/>
      <c r="C175" s="191"/>
      <c r="D175" s="191">
        <v>1013.8</v>
      </c>
      <c r="E175" s="192">
        <v>73.175019999999989</v>
      </c>
      <c r="F175" s="191"/>
      <c r="H175" s="172" t="b">
        <f t="shared" si="4"/>
        <v>0</v>
      </c>
      <c r="I175" s="172">
        <f t="shared" si="5"/>
        <v>0</v>
      </c>
    </row>
    <row r="176" spans="2:9" ht="15">
      <c r="B176" s="190"/>
      <c r="C176" s="191"/>
      <c r="D176" s="191"/>
      <c r="E176" s="192"/>
      <c r="F176" s="191"/>
      <c r="H176" s="172" t="b">
        <f t="shared" si="4"/>
        <v>0</v>
      </c>
      <c r="I176" s="172">
        <f t="shared" si="5"/>
        <v>0</v>
      </c>
    </row>
    <row r="177" spans="2:9" ht="15.75" thickBot="1">
      <c r="B177" s="190"/>
      <c r="C177" s="191"/>
      <c r="D177" s="191"/>
      <c r="E177" s="192"/>
      <c r="F177" s="191"/>
      <c r="H177" s="172" t="b">
        <f t="shared" si="4"/>
        <v>0</v>
      </c>
      <c r="I177" s="172">
        <f t="shared" si="5"/>
        <v>0</v>
      </c>
    </row>
    <row r="178" spans="2:9" ht="16.5" thickBot="1">
      <c r="B178" s="173" t="s">
        <v>155</v>
      </c>
      <c r="C178" s="323" t="s">
        <v>708</v>
      </c>
      <c r="D178" s="309"/>
      <c r="E178" s="309"/>
      <c r="F178" s="310"/>
      <c r="H178" s="172" t="b">
        <f t="shared" si="4"/>
        <v>1</v>
      </c>
      <c r="I178" s="172">
        <f t="shared" si="5"/>
        <v>7.2178950483330034E-2</v>
      </c>
    </row>
    <row r="179" spans="2:9" ht="13.5" thickBot="1">
      <c r="B179" s="221" t="s">
        <v>319</v>
      </c>
      <c r="C179" s="222" t="s">
        <v>320</v>
      </c>
      <c r="D179" s="223" t="s">
        <v>321</v>
      </c>
      <c r="E179" s="223" t="s">
        <v>322</v>
      </c>
      <c r="F179" s="177" t="s">
        <v>323</v>
      </c>
      <c r="H179" s="172" t="b">
        <f t="shared" si="4"/>
        <v>0</v>
      </c>
      <c r="I179" s="172">
        <f t="shared" si="5"/>
        <v>0</v>
      </c>
    </row>
    <row r="180" spans="2:9" ht="15">
      <c r="B180" s="224" t="s">
        <v>343</v>
      </c>
      <c r="C180" s="232" t="s">
        <v>101</v>
      </c>
      <c r="D180" s="226">
        <v>360</v>
      </c>
      <c r="E180" s="227">
        <v>38.519999999999996</v>
      </c>
      <c r="F180" s="321">
        <v>7.2178950483330034E-2</v>
      </c>
      <c r="H180" s="172" t="b">
        <f t="shared" si="4"/>
        <v>0</v>
      </c>
      <c r="I180" s="172">
        <f t="shared" si="5"/>
        <v>0</v>
      </c>
    </row>
    <row r="181" spans="2:9" ht="15">
      <c r="B181" s="228" t="s">
        <v>338</v>
      </c>
      <c r="C181" s="233" t="s">
        <v>117</v>
      </c>
      <c r="D181" s="183">
        <v>150</v>
      </c>
      <c r="E181" s="184">
        <v>5.2500000000000009</v>
      </c>
      <c r="F181" s="316"/>
      <c r="H181" s="172" t="b">
        <f t="shared" si="4"/>
        <v>0</v>
      </c>
      <c r="I181" s="172">
        <f t="shared" si="5"/>
        <v>0</v>
      </c>
    </row>
    <row r="182" spans="2:9" ht="15">
      <c r="B182" s="228" t="s">
        <v>339</v>
      </c>
      <c r="C182" s="233" t="s">
        <v>119</v>
      </c>
      <c r="D182" s="183">
        <v>150</v>
      </c>
      <c r="E182" s="184">
        <v>5.2500000000000009</v>
      </c>
      <c r="F182" s="316"/>
      <c r="H182" s="172" t="b">
        <f t="shared" si="4"/>
        <v>0</v>
      </c>
      <c r="I182" s="172">
        <f t="shared" si="5"/>
        <v>0</v>
      </c>
    </row>
    <row r="183" spans="2:9" ht="15">
      <c r="B183" s="228" t="s">
        <v>341</v>
      </c>
      <c r="C183" s="233" t="s">
        <v>121</v>
      </c>
      <c r="D183" s="183">
        <v>150</v>
      </c>
      <c r="E183" s="184">
        <v>5.2500000000000009</v>
      </c>
      <c r="F183" s="316"/>
      <c r="H183" s="172" t="b">
        <f t="shared" si="4"/>
        <v>0</v>
      </c>
      <c r="I183" s="172">
        <f t="shared" si="5"/>
        <v>0</v>
      </c>
    </row>
    <row r="184" spans="2:9" ht="15">
      <c r="B184" s="228" t="s">
        <v>347</v>
      </c>
      <c r="C184" s="233" t="s">
        <v>123</v>
      </c>
      <c r="D184" s="183">
        <v>200</v>
      </c>
      <c r="E184" s="184">
        <v>7.0000000000000009</v>
      </c>
      <c r="F184" s="316"/>
      <c r="H184" s="172" t="b">
        <f t="shared" si="4"/>
        <v>0</v>
      </c>
      <c r="I184" s="172">
        <f t="shared" si="5"/>
        <v>0</v>
      </c>
    </row>
    <row r="185" spans="2:9" ht="15.75" thickBot="1">
      <c r="B185" s="230" t="s">
        <v>239</v>
      </c>
      <c r="C185" s="234" t="s">
        <v>240</v>
      </c>
      <c r="D185" s="187">
        <v>3.8</v>
      </c>
      <c r="E185" s="188">
        <v>11.905019999999999</v>
      </c>
      <c r="F185" s="322"/>
      <c r="H185" s="172" t="b">
        <f t="shared" si="4"/>
        <v>0</v>
      </c>
      <c r="I185" s="172">
        <f t="shared" si="5"/>
        <v>0</v>
      </c>
    </row>
    <row r="186" spans="2:9" ht="15">
      <c r="B186" s="190"/>
      <c r="C186" s="191"/>
      <c r="D186" s="191">
        <v>1013.8</v>
      </c>
      <c r="E186" s="192">
        <v>73.175019999999989</v>
      </c>
      <c r="F186" s="191"/>
      <c r="H186" s="172" t="b">
        <f t="shared" si="4"/>
        <v>0</v>
      </c>
      <c r="I186" s="172">
        <f t="shared" si="5"/>
        <v>0</v>
      </c>
    </row>
    <row r="187" spans="2:9">
      <c r="B187" s="190"/>
      <c r="H187" s="172" t="b">
        <f t="shared" si="4"/>
        <v>0</v>
      </c>
      <c r="I187" s="172">
        <f t="shared" si="5"/>
        <v>0</v>
      </c>
    </row>
    <row r="188" spans="2:9" ht="13.5" thickBot="1">
      <c r="B188" s="190"/>
      <c r="H188" s="172" t="b">
        <f t="shared" si="4"/>
        <v>0</v>
      </c>
      <c r="I188" s="172">
        <f t="shared" si="5"/>
        <v>0</v>
      </c>
    </row>
    <row r="189" spans="2:9" ht="16.5" thickBot="1">
      <c r="B189" s="173" t="s">
        <v>152</v>
      </c>
      <c r="C189" s="323" t="s">
        <v>709</v>
      </c>
      <c r="D189" s="309"/>
      <c r="E189" s="309"/>
      <c r="F189" s="310"/>
      <c r="H189" s="172" t="b">
        <f t="shared" si="4"/>
        <v>1</v>
      </c>
      <c r="I189" s="172">
        <f t="shared" si="5"/>
        <v>7.6727667186124809E-2</v>
      </c>
    </row>
    <row r="190" spans="2:9" ht="13.5" thickBot="1">
      <c r="B190" s="221" t="s">
        <v>319</v>
      </c>
      <c r="C190" s="222" t="s">
        <v>320</v>
      </c>
      <c r="D190" s="223" t="s">
        <v>321</v>
      </c>
      <c r="E190" s="223" t="s">
        <v>322</v>
      </c>
      <c r="F190" s="177" t="s">
        <v>323</v>
      </c>
      <c r="H190" s="172" t="b">
        <f t="shared" si="4"/>
        <v>0</v>
      </c>
      <c r="I190" s="172">
        <f t="shared" si="5"/>
        <v>0</v>
      </c>
    </row>
    <row r="191" spans="2:9" ht="15">
      <c r="B191" s="235" t="s">
        <v>348</v>
      </c>
      <c r="C191" s="236" t="s">
        <v>98</v>
      </c>
      <c r="D191" s="237">
        <v>50</v>
      </c>
      <c r="E191" s="238">
        <v>11.394996084573219</v>
      </c>
      <c r="F191" s="324">
        <v>7.6727667186124809E-2</v>
      </c>
      <c r="H191" s="172" t="b">
        <f t="shared" si="4"/>
        <v>0</v>
      </c>
      <c r="I191" s="172">
        <f t="shared" si="5"/>
        <v>0</v>
      </c>
    </row>
    <row r="192" spans="2:9" ht="15">
      <c r="B192" s="228" t="s">
        <v>343</v>
      </c>
      <c r="C192" s="225" t="s">
        <v>101</v>
      </c>
      <c r="D192" s="226">
        <v>300</v>
      </c>
      <c r="E192" s="239">
        <v>32.1</v>
      </c>
      <c r="F192" s="325"/>
      <c r="H192" s="172" t="b">
        <f t="shared" si="4"/>
        <v>0</v>
      </c>
      <c r="I192" s="172">
        <f t="shared" si="5"/>
        <v>0</v>
      </c>
    </row>
    <row r="193" spans="2:9" ht="15">
      <c r="B193" s="228" t="s">
        <v>338</v>
      </c>
      <c r="C193" s="229" t="s">
        <v>117</v>
      </c>
      <c r="D193" s="183">
        <v>300</v>
      </c>
      <c r="E193" s="240">
        <v>10.500000000000002</v>
      </c>
      <c r="F193" s="325"/>
      <c r="H193" s="172" t="b">
        <f t="shared" si="4"/>
        <v>0</v>
      </c>
      <c r="I193" s="172">
        <f t="shared" si="5"/>
        <v>0</v>
      </c>
    </row>
    <row r="194" spans="2:9" ht="15">
      <c r="B194" s="228" t="s">
        <v>339</v>
      </c>
      <c r="C194" s="229" t="s">
        <v>119</v>
      </c>
      <c r="D194" s="183">
        <v>350</v>
      </c>
      <c r="E194" s="240">
        <v>12.250000000000002</v>
      </c>
      <c r="F194" s="325"/>
      <c r="H194" s="172" t="b">
        <f t="shared" si="4"/>
        <v>0</v>
      </c>
      <c r="I194" s="172">
        <f t="shared" si="5"/>
        <v>0</v>
      </c>
    </row>
    <row r="195" spans="2:9" ht="15.75" thickBot="1">
      <c r="B195" s="241" t="s">
        <v>239</v>
      </c>
      <c r="C195" s="231" t="s">
        <v>240</v>
      </c>
      <c r="D195" s="187">
        <v>3.43</v>
      </c>
      <c r="E195" s="242">
        <v>10.745846999999999</v>
      </c>
      <c r="F195" s="326"/>
      <c r="H195" s="172" t="b">
        <f t="shared" si="4"/>
        <v>0</v>
      </c>
      <c r="I195" s="172">
        <f t="shared" si="5"/>
        <v>0</v>
      </c>
    </row>
    <row r="196" spans="2:9" ht="15">
      <c r="B196" s="190"/>
      <c r="C196" s="191"/>
      <c r="D196" s="191">
        <v>1003.43</v>
      </c>
      <c r="E196" s="192">
        <v>76.990843084573214</v>
      </c>
      <c r="F196" s="191"/>
      <c r="H196" s="172" t="b">
        <f t="shared" ref="H196:H259" si="6">B197="CODE"</f>
        <v>0</v>
      </c>
      <c r="I196" s="172">
        <f t="shared" ref="I196:I259" si="7">IF(H196,F198,0)</f>
        <v>0</v>
      </c>
    </row>
    <row r="197" spans="2:9" ht="15">
      <c r="B197" s="190"/>
      <c r="C197" s="191"/>
      <c r="D197" s="191"/>
      <c r="E197" s="192"/>
      <c r="F197" s="191"/>
      <c r="H197" s="172" t="b">
        <f t="shared" si="6"/>
        <v>0</v>
      </c>
      <c r="I197" s="172">
        <f t="shared" si="7"/>
        <v>0</v>
      </c>
    </row>
    <row r="198" spans="2:9" ht="13.5" thickBot="1">
      <c r="B198" s="190"/>
      <c r="H198" s="172" t="b">
        <f t="shared" si="6"/>
        <v>0</v>
      </c>
      <c r="I198" s="172">
        <f t="shared" si="7"/>
        <v>0</v>
      </c>
    </row>
    <row r="199" spans="2:9" ht="16.5" thickBot="1">
      <c r="B199" s="173" t="s">
        <v>154</v>
      </c>
      <c r="C199" s="323" t="s">
        <v>710</v>
      </c>
      <c r="D199" s="309"/>
      <c r="E199" s="309"/>
      <c r="F199" s="310"/>
      <c r="H199" s="172" t="b">
        <f t="shared" si="6"/>
        <v>1</v>
      </c>
      <c r="I199" s="172">
        <f t="shared" si="7"/>
        <v>6.4509084849061996E-2</v>
      </c>
    </row>
    <row r="200" spans="2:9" ht="13.5" thickBot="1">
      <c r="B200" s="221" t="s">
        <v>319</v>
      </c>
      <c r="C200" s="222" t="s">
        <v>320</v>
      </c>
      <c r="D200" s="223" t="s">
        <v>321</v>
      </c>
      <c r="E200" s="223" t="s">
        <v>322</v>
      </c>
      <c r="F200" s="177" t="s">
        <v>323</v>
      </c>
      <c r="H200" s="172" t="b">
        <f t="shared" si="6"/>
        <v>0</v>
      </c>
      <c r="I200" s="172">
        <f t="shared" si="7"/>
        <v>0</v>
      </c>
    </row>
    <row r="201" spans="2:9" ht="15">
      <c r="B201" s="235" t="s">
        <v>343</v>
      </c>
      <c r="C201" s="225" t="s">
        <v>101</v>
      </c>
      <c r="D201" s="237">
        <v>297</v>
      </c>
      <c r="E201" s="238">
        <v>31.779</v>
      </c>
      <c r="F201" s="324">
        <v>6.4509084849061996E-2</v>
      </c>
      <c r="H201" s="172" t="b">
        <f t="shared" si="6"/>
        <v>0</v>
      </c>
      <c r="I201" s="172">
        <f t="shared" si="7"/>
        <v>0</v>
      </c>
    </row>
    <row r="202" spans="2:9" ht="15">
      <c r="B202" s="228" t="s">
        <v>338</v>
      </c>
      <c r="C202" s="229" t="s">
        <v>117</v>
      </c>
      <c r="D202" s="226">
        <v>125</v>
      </c>
      <c r="E202" s="239">
        <v>4.375</v>
      </c>
      <c r="F202" s="325"/>
      <c r="H202" s="172" t="b">
        <f t="shared" si="6"/>
        <v>0</v>
      </c>
      <c r="I202" s="172">
        <f t="shared" si="7"/>
        <v>0</v>
      </c>
    </row>
    <row r="203" spans="2:9" ht="15">
      <c r="B203" s="228" t="s">
        <v>339</v>
      </c>
      <c r="C203" s="229" t="s">
        <v>119</v>
      </c>
      <c r="D203" s="183">
        <v>125</v>
      </c>
      <c r="E203" s="240">
        <v>4.375</v>
      </c>
      <c r="F203" s="325"/>
      <c r="H203" s="172" t="b">
        <f t="shared" si="6"/>
        <v>0</v>
      </c>
      <c r="I203" s="172">
        <f t="shared" si="7"/>
        <v>0</v>
      </c>
    </row>
    <row r="204" spans="2:9" ht="15">
      <c r="B204" s="228" t="s">
        <v>341</v>
      </c>
      <c r="C204" s="229" t="s">
        <v>121</v>
      </c>
      <c r="D204" s="183">
        <v>150</v>
      </c>
      <c r="E204" s="240">
        <v>5.2500000000000009</v>
      </c>
      <c r="F204" s="325"/>
      <c r="H204" s="172" t="b">
        <f t="shared" si="6"/>
        <v>0</v>
      </c>
      <c r="I204" s="172">
        <f t="shared" si="7"/>
        <v>0</v>
      </c>
    </row>
    <row r="205" spans="2:9" ht="15">
      <c r="B205" s="228" t="s">
        <v>347</v>
      </c>
      <c r="C205" s="229" t="s">
        <v>123</v>
      </c>
      <c r="D205" s="183">
        <v>150</v>
      </c>
      <c r="E205" s="240">
        <v>5.2500000000000009</v>
      </c>
      <c r="F205" s="325"/>
      <c r="H205" s="172" t="b">
        <f t="shared" si="6"/>
        <v>0</v>
      </c>
      <c r="I205" s="172">
        <f t="shared" si="7"/>
        <v>0</v>
      </c>
    </row>
    <row r="206" spans="2:9" ht="15">
      <c r="B206" s="228" t="s">
        <v>349</v>
      </c>
      <c r="C206" s="229" t="s">
        <v>125</v>
      </c>
      <c r="D206" s="183">
        <v>200</v>
      </c>
      <c r="E206" s="240">
        <v>7.0000000000000009</v>
      </c>
      <c r="F206" s="325"/>
      <c r="H206" s="172" t="b">
        <f t="shared" si="6"/>
        <v>0</v>
      </c>
      <c r="I206" s="172">
        <f t="shared" si="7"/>
        <v>0</v>
      </c>
    </row>
    <row r="207" spans="2:9" ht="15.75" thickBot="1">
      <c r="B207" s="230" t="s">
        <v>239</v>
      </c>
      <c r="C207" s="231" t="s">
        <v>240</v>
      </c>
      <c r="D207" s="187">
        <v>3.1</v>
      </c>
      <c r="E207" s="242">
        <v>9.7119900000000001</v>
      </c>
      <c r="F207" s="326"/>
      <c r="H207" s="172" t="b">
        <f t="shared" si="6"/>
        <v>0</v>
      </c>
      <c r="I207" s="172">
        <f t="shared" si="7"/>
        <v>0</v>
      </c>
    </row>
    <row r="208" spans="2:9" ht="15">
      <c r="B208" s="190"/>
      <c r="C208" s="191"/>
      <c r="D208" s="191">
        <v>1050.0999999999999</v>
      </c>
      <c r="E208" s="192">
        <v>67.740989999999996</v>
      </c>
      <c r="F208" s="191"/>
      <c r="H208" s="172" t="b">
        <f t="shared" si="6"/>
        <v>0</v>
      </c>
      <c r="I208" s="172">
        <f t="shared" si="7"/>
        <v>0</v>
      </c>
    </row>
    <row r="209" spans="2:9">
      <c r="B209" s="190"/>
      <c r="H209" s="172" t="b">
        <f t="shared" si="6"/>
        <v>0</v>
      </c>
      <c r="I209" s="172">
        <f t="shared" si="7"/>
        <v>0</v>
      </c>
    </row>
    <row r="210" spans="2:9" ht="13.5" thickBot="1">
      <c r="B210" s="190"/>
      <c r="H210" s="172" t="b">
        <f t="shared" si="6"/>
        <v>0</v>
      </c>
      <c r="I210" s="172">
        <f t="shared" si="7"/>
        <v>0</v>
      </c>
    </row>
    <row r="211" spans="2:9" ht="16.5" thickBot="1">
      <c r="B211" s="173" t="s">
        <v>163</v>
      </c>
      <c r="C211" s="323" t="s">
        <v>711</v>
      </c>
      <c r="D211" s="309"/>
      <c r="E211" s="309"/>
      <c r="F211" s="310"/>
      <c r="H211" s="172" t="b">
        <f t="shared" si="6"/>
        <v>1</v>
      </c>
      <c r="I211" s="172">
        <f t="shared" si="7"/>
        <v>0.11049139613781302</v>
      </c>
    </row>
    <row r="212" spans="2:9" ht="13.5" thickBot="1">
      <c r="B212" s="221" t="s">
        <v>319</v>
      </c>
      <c r="C212" s="222" t="s">
        <v>320</v>
      </c>
      <c r="D212" s="223" t="s">
        <v>321</v>
      </c>
      <c r="E212" s="223" t="s">
        <v>322</v>
      </c>
      <c r="F212" s="177" t="s">
        <v>323</v>
      </c>
      <c r="H212" s="172" t="b">
        <f t="shared" si="6"/>
        <v>0</v>
      </c>
      <c r="I212" s="172">
        <f t="shared" si="7"/>
        <v>0</v>
      </c>
    </row>
    <row r="213" spans="2:9" ht="15">
      <c r="B213" s="235" t="s">
        <v>343</v>
      </c>
      <c r="C213" s="232" t="s">
        <v>101</v>
      </c>
      <c r="D213" s="226">
        <v>800</v>
      </c>
      <c r="E213" s="227">
        <v>85.6</v>
      </c>
      <c r="F213" s="321">
        <v>0.11049139613781302</v>
      </c>
      <c r="H213" s="172" t="b">
        <f t="shared" si="6"/>
        <v>0</v>
      </c>
      <c r="I213" s="172">
        <f t="shared" si="7"/>
        <v>0</v>
      </c>
    </row>
    <row r="214" spans="2:9" ht="15">
      <c r="B214" s="228" t="s">
        <v>336</v>
      </c>
      <c r="C214" s="233" t="s">
        <v>115</v>
      </c>
      <c r="D214" s="183">
        <v>200</v>
      </c>
      <c r="E214" s="184">
        <v>11.5</v>
      </c>
      <c r="F214" s="316"/>
      <c r="H214" s="172" t="b">
        <f t="shared" si="6"/>
        <v>0</v>
      </c>
      <c r="I214" s="172">
        <f t="shared" si="7"/>
        <v>0</v>
      </c>
    </row>
    <row r="215" spans="2:9" ht="15.75" thickBot="1">
      <c r="B215" s="230" t="s">
        <v>244</v>
      </c>
      <c r="C215" s="234" t="s">
        <v>245</v>
      </c>
      <c r="D215" s="187">
        <v>5.13</v>
      </c>
      <c r="E215" s="188">
        <v>13.958216999999999</v>
      </c>
      <c r="F215" s="322"/>
      <c r="H215" s="172" t="b">
        <f t="shared" si="6"/>
        <v>0</v>
      </c>
      <c r="I215" s="172">
        <f t="shared" si="7"/>
        <v>0</v>
      </c>
    </row>
    <row r="216" spans="2:9" ht="15">
      <c r="B216" s="243"/>
      <c r="C216" s="191"/>
      <c r="D216" s="191">
        <v>1005.13</v>
      </c>
      <c r="E216" s="192">
        <v>111.058217</v>
      </c>
      <c r="F216" s="191"/>
      <c r="H216" s="172" t="b">
        <f t="shared" si="6"/>
        <v>0</v>
      </c>
      <c r="I216" s="172">
        <f t="shared" si="7"/>
        <v>0</v>
      </c>
    </row>
    <row r="217" spans="2:9">
      <c r="B217" s="243"/>
      <c r="H217" s="172" t="b">
        <f t="shared" si="6"/>
        <v>0</v>
      </c>
      <c r="I217" s="172">
        <f t="shared" si="7"/>
        <v>0</v>
      </c>
    </row>
    <row r="218" spans="2:9" ht="13.5" thickBot="1">
      <c r="B218" s="243"/>
      <c r="H218" s="172" t="b">
        <f t="shared" si="6"/>
        <v>0</v>
      </c>
      <c r="I218" s="172">
        <f t="shared" si="7"/>
        <v>0</v>
      </c>
    </row>
    <row r="219" spans="2:9" ht="16.5" thickBot="1">
      <c r="B219" s="173" t="s">
        <v>158</v>
      </c>
      <c r="C219" s="323" t="s">
        <v>712</v>
      </c>
      <c r="D219" s="309"/>
      <c r="E219" s="309"/>
      <c r="F219" s="310"/>
      <c r="H219" s="172" t="b">
        <f t="shared" si="6"/>
        <v>1</v>
      </c>
      <c r="I219" s="172">
        <f t="shared" si="7"/>
        <v>9.3666751306851717E-2</v>
      </c>
    </row>
    <row r="220" spans="2:9" ht="13.5" thickBot="1">
      <c r="B220" s="221" t="s">
        <v>319</v>
      </c>
      <c r="C220" s="222" t="s">
        <v>320</v>
      </c>
      <c r="D220" s="223" t="s">
        <v>321</v>
      </c>
      <c r="E220" s="223" t="s">
        <v>322</v>
      </c>
      <c r="F220" s="177" t="s">
        <v>323</v>
      </c>
      <c r="H220" s="172" t="b">
        <f t="shared" si="6"/>
        <v>0</v>
      </c>
      <c r="I220" s="172">
        <f t="shared" si="7"/>
        <v>0</v>
      </c>
    </row>
    <row r="221" spans="2:9" ht="15">
      <c r="B221" s="235" t="s">
        <v>348</v>
      </c>
      <c r="C221" s="225" t="s">
        <v>98</v>
      </c>
      <c r="D221" s="237">
        <v>75</v>
      </c>
      <c r="E221" s="238">
        <v>17.092494126859826</v>
      </c>
      <c r="F221" s="324">
        <v>9.3666751306851717E-2</v>
      </c>
      <c r="H221" s="172" t="b">
        <f t="shared" si="6"/>
        <v>0</v>
      </c>
      <c r="I221" s="172">
        <f t="shared" si="7"/>
        <v>0</v>
      </c>
    </row>
    <row r="222" spans="2:9" ht="15">
      <c r="B222" s="228" t="s">
        <v>343</v>
      </c>
      <c r="C222" s="225" t="s">
        <v>101</v>
      </c>
      <c r="D222" s="244">
        <v>200</v>
      </c>
      <c r="E222" s="245">
        <v>21.4</v>
      </c>
      <c r="F222" s="327"/>
      <c r="H222" s="172" t="b">
        <f t="shared" si="6"/>
        <v>0</v>
      </c>
      <c r="I222" s="172">
        <f t="shared" si="7"/>
        <v>0</v>
      </c>
    </row>
    <row r="223" spans="2:9" ht="15">
      <c r="B223" s="228" t="s">
        <v>338</v>
      </c>
      <c r="C223" s="229" t="s">
        <v>117</v>
      </c>
      <c r="D223" s="226">
        <v>100</v>
      </c>
      <c r="E223" s="239">
        <v>3.5000000000000004</v>
      </c>
      <c r="F223" s="325"/>
      <c r="H223" s="172" t="b">
        <f t="shared" si="6"/>
        <v>0</v>
      </c>
      <c r="I223" s="172">
        <f t="shared" si="7"/>
        <v>0</v>
      </c>
    </row>
    <row r="224" spans="2:9" ht="15">
      <c r="B224" s="228" t="s">
        <v>339</v>
      </c>
      <c r="C224" s="229" t="s">
        <v>119</v>
      </c>
      <c r="D224" s="183">
        <v>250</v>
      </c>
      <c r="E224" s="240">
        <v>8.75</v>
      </c>
      <c r="F224" s="325"/>
      <c r="H224" s="172" t="b">
        <f t="shared" si="6"/>
        <v>0</v>
      </c>
      <c r="I224" s="172">
        <f t="shared" si="7"/>
        <v>0</v>
      </c>
    </row>
    <row r="225" spans="2:9" ht="15">
      <c r="B225" s="228" t="s">
        <v>341</v>
      </c>
      <c r="C225" s="229" t="s">
        <v>121</v>
      </c>
      <c r="D225" s="183">
        <v>225</v>
      </c>
      <c r="E225" s="240">
        <v>7.8750000000000009</v>
      </c>
      <c r="F225" s="325"/>
      <c r="H225" s="172" t="b">
        <f t="shared" si="6"/>
        <v>0</v>
      </c>
      <c r="I225" s="172">
        <f t="shared" si="7"/>
        <v>0</v>
      </c>
    </row>
    <row r="226" spans="2:9" ht="15">
      <c r="B226" s="228" t="s">
        <v>347</v>
      </c>
      <c r="C226" s="229" t="s">
        <v>123</v>
      </c>
      <c r="D226" s="183">
        <v>200</v>
      </c>
      <c r="E226" s="240">
        <v>7.0000000000000009</v>
      </c>
      <c r="F226" s="325"/>
      <c r="H226" s="172" t="b">
        <f t="shared" si="6"/>
        <v>0</v>
      </c>
      <c r="I226" s="172">
        <f t="shared" si="7"/>
        <v>0</v>
      </c>
    </row>
    <row r="227" spans="2:9" ht="15">
      <c r="B227" s="228" t="s">
        <v>166</v>
      </c>
      <c r="C227" s="229" t="s">
        <v>350</v>
      </c>
      <c r="D227" s="210">
        <v>20</v>
      </c>
      <c r="E227" s="246">
        <v>26.400000000000002</v>
      </c>
      <c r="F227" s="325"/>
      <c r="H227" s="172" t="b">
        <f t="shared" si="6"/>
        <v>0</v>
      </c>
      <c r="I227" s="172">
        <f t="shared" si="7"/>
        <v>0</v>
      </c>
    </row>
    <row r="228" spans="2:9" ht="15.75" thickBot="1">
      <c r="B228" s="230" t="s">
        <v>239</v>
      </c>
      <c r="C228" s="231" t="s">
        <v>240</v>
      </c>
      <c r="D228" s="187">
        <v>2.7</v>
      </c>
      <c r="E228" s="242">
        <v>8.4588300000000007</v>
      </c>
      <c r="F228" s="326"/>
      <c r="H228" s="172" t="b">
        <f t="shared" si="6"/>
        <v>0</v>
      </c>
      <c r="I228" s="172">
        <f t="shared" si="7"/>
        <v>0</v>
      </c>
    </row>
    <row r="229" spans="2:9" ht="15">
      <c r="B229" s="190"/>
      <c r="C229" s="191"/>
      <c r="D229" s="191">
        <v>1072.7</v>
      </c>
      <c r="E229" s="192">
        <v>100.47632412685984</v>
      </c>
      <c r="F229" s="191"/>
      <c r="H229" s="172" t="b">
        <f t="shared" si="6"/>
        <v>0</v>
      </c>
      <c r="I229" s="172">
        <f t="shared" si="7"/>
        <v>0</v>
      </c>
    </row>
    <row r="230" spans="2:9">
      <c r="B230" s="190"/>
      <c r="H230" s="172" t="b">
        <f t="shared" si="6"/>
        <v>0</v>
      </c>
      <c r="I230" s="172">
        <f t="shared" si="7"/>
        <v>0</v>
      </c>
    </row>
    <row r="231" spans="2:9" ht="13.5" thickBot="1">
      <c r="B231" s="190"/>
      <c r="H231" s="172" t="b">
        <f t="shared" si="6"/>
        <v>0</v>
      </c>
      <c r="I231" s="172">
        <f t="shared" si="7"/>
        <v>0</v>
      </c>
    </row>
    <row r="232" spans="2:9" ht="16.5" thickBot="1">
      <c r="B232" s="173" t="s">
        <v>159</v>
      </c>
      <c r="C232" s="323" t="s">
        <v>713</v>
      </c>
      <c r="D232" s="309"/>
      <c r="E232" s="309"/>
      <c r="F232" s="310"/>
      <c r="H232" s="172" t="b">
        <f t="shared" si="6"/>
        <v>1</v>
      </c>
      <c r="I232" s="172">
        <f t="shared" si="7"/>
        <v>0.14847073346712203</v>
      </c>
    </row>
    <row r="233" spans="2:9" ht="13.5" thickBot="1">
      <c r="B233" s="221" t="s">
        <v>319</v>
      </c>
      <c r="C233" s="222" t="s">
        <v>320</v>
      </c>
      <c r="D233" s="223" t="s">
        <v>321</v>
      </c>
      <c r="E233" s="223" t="s">
        <v>322</v>
      </c>
      <c r="F233" s="177" t="s">
        <v>323</v>
      </c>
      <c r="H233" s="172" t="b">
        <f t="shared" si="6"/>
        <v>0</v>
      </c>
      <c r="I233" s="172">
        <f t="shared" si="7"/>
        <v>0</v>
      </c>
    </row>
    <row r="234" spans="2:9" ht="15">
      <c r="B234" s="235" t="s">
        <v>348</v>
      </c>
      <c r="C234" s="225" t="s">
        <v>98</v>
      </c>
      <c r="D234" s="237">
        <v>75</v>
      </c>
      <c r="E234" s="238">
        <v>17.092494126859826</v>
      </c>
      <c r="F234" s="324">
        <v>0.14847073346712203</v>
      </c>
      <c r="H234" s="172" t="b">
        <f t="shared" si="6"/>
        <v>0</v>
      </c>
      <c r="I234" s="172">
        <f t="shared" si="7"/>
        <v>0</v>
      </c>
    </row>
    <row r="235" spans="2:9" ht="15">
      <c r="B235" s="228" t="s">
        <v>343</v>
      </c>
      <c r="C235" s="225" t="s">
        <v>101</v>
      </c>
      <c r="D235" s="244">
        <v>200</v>
      </c>
      <c r="E235" s="245">
        <v>21.4</v>
      </c>
      <c r="F235" s="327"/>
      <c r="H235" s="172" t="b">
        <f t="shared" si="6"/>
        <v>0</v>
      </c>
      <c r="I235" s="172">
        <f t="shared" si="7"/>
        <v>0</v>
      </c>
    </row>
    <row r="236" spans="2:9" ht="15">
      <c r="B236" s="228" t="s">
        <v>338</v>
      </c>
      <c r="C236" s="229" t="s">
        <v>117</v>
      </c>
      <c r="D236" s="226">
        <v>100</v>
      </c>
      <c r="E236" s="239">
        <v>3.5000000000000004</v>
      </c>
      <c r="F236" s="325"/>
      <c r="H236" s="172" t="b">
        <f t="shared" si="6"/>
        <v>0</v>
      </c>
      <c r="I236" s="172">
        <f t="shared" si="7"/>
        <v>0</v>
      </c>
    </row>
    <row r="237" spans="2:9" ht="15">
      <c r="B237" s="228" t="s">
        <v>339</v>
      </c>
      <c r="C237" s="229" t="s">
        <v>119</v>
      </c>
      <c r="D237" s="183">
        <v>250</v>
      </c>
      <c r="E237" s="240">
        <v>8.75</v>
      </c>
      <c r="F237" s="325"/>
      <c r="H237" s="172" t="b">
        <f t="shared" si="6"/>
        <v>0</v>
      </c>
      <c r="I237" s="172">
        <f t="shared" si="7"/>
        <v>0</v>
      </c>
    </row>
    <row r="238" spans="2:9" ht="15">
      <c r="B238" s="228" t="s">
        <v>341</v>
      </c>
      <c r="C238" s="229" t="s">
        <v>121</v>
      </c>
      <c r="D238" s="183">
        <v>225</v>
      </c>
      <c r="E238" s="240">
        <v>7.8750000000000009</v>
      </c>
      <c r="F238" s="325"/>
      <c r="H238" s="172" t="b">
        <f t="shared" si="6"/>
        <v>0</v>
      </c>
      <c r="I238" s="172">
        <f t="shared" si="7"/>
        <v>0</v>
      </c>
    </row>
    <row r="239" spans="2:9" ht="15">
      <c r="B239" s="228" t="s">
        <v>347</v>
      </c>
      <c r="C239" s="229" t="s">
        <v>123</v>
      </c>
      <c r="D239" s="183">
        <v>200</v>
      </c>
      <c r="E239" s="240">
        <v>7.0000000000000009</v>
      </c>
      <c r="F239" s="325"/>
      <c r="H239" s="172" t="b">
        <f t="shared" si="6"/>
        <v>0</v>
      </c>
      <c r="I239" s="172">
        <f t="shared" si="7"/>
        <v>0</v>
      </c>
    </row>
    <row r="240" spans="2:9" ht="15">
      <c r="B240" s="228" t="s">
        <v>166</v>
      </c>
      <c r="C240" s="229" t="s">
        <v>350</v>
      </c>
      <c r="D240" s="210">
        <v>20</v>
      </c>
      <c r="E240" s="246">
        <v>26.400000000000002</v>
      </c>
      <c r="F240" s="325"/>
      <c r="H240" s="172" t="b">
        <f t="shared" si="6"/>
        <v>0</v>
      </c>
      <c r="I240" s="172">
        <f t="shared" si="7"/>
        <v>0</v>
      </c>
    </row>
    <row r="241" spans="2:9" ht="15">
      <c r="B241" s="228" t="s">
        <v>329</v>
      </c>
      <c r="C241" s="247" t="s">
        <v>194</v>
      </c>
      <c r="D241" s="210">
        <v>25</v>
      </c>
      <c r="E241" s="246">
        <v>62.5</v>
      </c>
      <c r="F241" s="325"/>
      <c r="H241" s="172" t="b">
        <f t="shared" si="6"/>
        <v>0</v>
      </c>
      <c r="I241" s="172">
        <f t="shared" si="7"/>
        <v>0</v>
      </c>
    </row>
    <row r="242" spans="2:9" ht="15.75" thickBot="1">
      <c r="B242" s="230" t="s">
        <v>239</v>
      </c>
      <c r="C242" s="231" t="s">
        <v>240</v>
      </c>
      <c r="D242" s="187">
        <v>2.7</v>
      </c>
      <c r="E242" s="242">
        <v>8.4588300000000007</v>
      </c>
      <c r="F242" s="326"/>
      <c r="H242" s="172" t="b">
        <f t="shared" si="6"/>
        <v>0</v>
      </c>
      <c r="I242" s="172">
        <f t="shared" si="7"/>
        <v>0</v>
      </c>
    </row>
    <row r="243" spans="2:9" ht="15">
      <c r="B243" s="190"/>
      <c r="C243" s="191"/>
      <c r="D243" s="191">
        <v>1097.7</v>
      </c>
      <c r="E243" s="192">
        <v>162.97632412685985</v>
      </c>
      <c r="F243" s="191"/>
      <c r="H243" s="172" t="b">
        <f t="shared" si="6"/>
        <v>0</v>
      </c>
      <c r="I243" s="172">
        <f t="shared" si="7"/>
        <v>0</v>
      </c>
    </row>
    <row r="244" spans="2:9" ht="13.5" thickBot="1">
      <c r="H244" s="172" t="b">
        <f t="shared" si="6"/>
        <v>0</v>
      </c>
      <c r="I244" s="172">
        <f t="shared" si="7"/>
        <v>0</v>
      </c>
    </row>
    <row r="245" spans="2:9" ht="16.5" thickBot="1">
      <c r="B245" s="173" t="s">
        <v>156</v>
      </c>
      <c r="C245" s="323" t="s">
        <v>714</v>
      </c>
      <c r="D245" s="309"/>
      <c r="E245" s="309"/>
      <c r="F245" s="310"/>
      <c r="H245" s="172" t="b">
        <f t="shared" si="6"/>
        <v>1</v>
      </c>
      <c r="I245" s="172">
        <f t="shared" si="7"/>
        <v>8.9863095116829883E-2</v>
      </c>
    </row>
    <row r="246" spans="2:9" ht="13.5" thickBot="1">
      <c r="B246" s="221" t="s">
        <v>319</v>
      </c>
      <c r="C246" s="222" t="s">
        <v>320</v>
      </c>
      <c r="D246" s="223" t="s">
        <v>321</v>
      </c>
      <c r="E246" s="223" t="s">
        <v>322</v>
      </c>
      <c r="F246" s="177" t="s">
        <v>323</v>
      </c>
      <c r="H246" s="172" t="b">
        <f t="shared" si="6"/>
        <v>0</v>
      </c>
      <c r="I246" s="172">
        <f t="shared" si="7"/>
        <v>0</v>
      </c>
    </row>
    <row r="247" spans="2:9" ht="15">
      <c r="B247" s="224" t="s">
        <v>343</v>
      </c>
      <c r="C247" s="232" t="s">
        <v>101</v>
      </c>
      <c r="D247" s="226">
        <v>300</v>
      </c>
      <c r="E247" s="227">
        <v>32.1</v>
      </c>
      <c r="F247" s="321">
        <v>8.9863095116829883E-2</v>
      </c>
      <c r="H247" s="172" t="b">
        <f t="shared" si="6"/>
        <v>0</v>
      </c>
      <c r="I247" s="172">
        <f t="shared" si="7"/>
        <v>0</v>
      </c>
    </row>
    <row r="248" spans="2:9" ht="15">
      <c r="B248" s="228" t="s">
        <v>348</v>
      </c>
      <c r="C248" s="232" t="s">
        <v>98</v>
      </c>
      <c r="D248" s="226">
        <v>70</v>
      </c>
      <c r="E248" s="227">
        <v>15.952994518402505</v>
      </c>
      <c r="F248" s="321"/>
      <c r="H248" s="172" t="b">
        <f t="shared" si="6"/>
        <v>0</v>
      </c>
      <c r="I248" s="172">
        <f t="shared" si="7"/>
        <v>0</v>
      </c>
    </row>
    <row r="249" spans="2:9" ht="15">
      <c r="B249" s="228" t="s">
        <v>338</v>
      </c>
      <c r="C249" s="233" t="s">
        <v>117</v>
      </c>
      <c r="D249" s="183">
        <v>300</v>
      </c>
      <c r="E249" s="184">
        <v>10.500000000000002</v>
      </c>
      <c r="F249" s="316"/>
      <c r="H249" s="172" t="b">
        <f t="shared" si="6"/>
        <v>0</v>
      </c>
      <c r="I249" s="172">
        <f t="shared" si="7"/>
        <v>0</v>
      </c>
    </row>
    <row r="250" spans="2:9" ht="15">
      <c r="B250" s="228" t="s">
        <v>339</v>
      </c>
      <c r="C250" s="233" t="s">
        <v>119</v>
      </c>
      <c r="D250" s="183">
        <v>350</v>
      </c>
      <c r="E250" s="184">
        <v>12.250000000000002</v>
      </c>
      <c r="F250" s="316"/>
      <c r="H250" s="172" t="b">
        <f t="shared" si="6"/>
        <v>0</v>
      </c>
      <c r="I250" s="172">
        <f t="shared" si="7"/>
        <v>0</v>
      </c>
    </row>
    <row r="251" spans="2:9" ht="15">
      <c r="B251" s="228" t="s">
        <v>341</v>
      </c>
      <c r="C251" s="233" t="s">
        <v>121</v>
      </c>
      <c r="D251" s="183">
        <v>0</v>
      </c>
      <c r="E251" s="184">
        <v>0</v>
      </c>
      <c r="F251" s="316"/>
      <c r="H251" s="172" t="b">
        <f t="shared" si="6"/>
        <v>0</v>
      </c>
      <c r="I251" s="172">
        <f t="shared" si="7"/>
        <v>0</v>
      </c>
    </row>
    <row r="252" spans="2:9" ht="15">
      <c r="B252" s="228" t="s">
        <v>347</v>
      </c>
      <c r="C252" s="233" t="s">
        <v>123</v>
      </c>
      <c r="D252" s="183">
        <v>0</v>
      </c>
      <c r="E252" s="184">
        <v>0</v>
      </c>
      <c r="F252" s="316"/>
      <c r="H252" s="172" t="b">
        <f t="shared" si="6"/>
        <v>0</v>
      </c>
      <c r="I252" s="172">
        <f t="shared" si="7"/>
        <v>0</v>
      </c>
    </row>
    <row r="253" spans="2:9" ht="15">
      <c r="B253" s="248" t="s">
        <v>183</v>
      </c>
      <c r="C253" s="249" t="s">
        <v>184</v>
      </c>
      <c r="D253" s="210">
        <v>0.5</v>
      </c>
      <c r="E253" s="211">
        <v>4.8499999999999996</v>
      </c>
      <c r="F253" s="318"/>
      <c r="H253" s="172" t="b">
        <f t="shared" si="6"/>
        <v>0</v>
      </c>
      <c r="I253" s="172">
        <f t="shared" si="7"/>
        <v>0</v>
      </c>
    </row>
    <row r="254" spans="2:9" ht="15.75" thickBot="1">
      <c r="B254" s="230" t="s">
        <v>242</v>
      </c>
      <c r="C254" s="234" t="s">
        <v>243</v>
      </c>
      <c r="D254" s="187">
        <v>5.8</v>
      </c>
      <c r="E254" s="188">
        <v>16.573499999999999</v>
      </c>
      <c r="F254" s="322"/>
      <c r="H254" s="172" t="b">
        <f t="shared" si="6"/>
        <v>0</v>
      </c>
      <c r="I254" s="172">
        <f t="shared" si="7"/>
        <v>0</v>
      </c>
    </row>
    <row r="255" spans="2:9" ht="15">
      <c r="B255" s="190"/>
      <c r="C255" s="191"/>
      <c r="D255" s="191">
        <v>1026.3</v>
      </c>
      <c r="E255" s="192">
        <v>92.226494518402504</v>
      </c>
      <c r="F255" s="191"/>
      <c r="H255" s="172" t="b">
        <f t="shared" si="6"/>
        <v>0</v>
      </c>
      <c r="I255" s="172">
        <f t="shared" si="7"/>
        <v>0</v>
      </c>
    </row>
    <row r="256" spans="2:9">
      <c r="B256" s="190"/>
      <c r="H256" s="172" t="b">
        <f t="shared" si="6"/>
        <v>0</v>
      </c>
      <c r="I256" s="172">
        <f t="shared" si="7"/>
        <v>0</v>
      </c>
    </row>
    <row r="257" spans="2:9" ht="13.5" thickBot="1">
      <c r="B257" s="190"/>
      <c r="H257" s="172" t="b">
        <f t="shared" si="6"/>
        <v>0</v>
      </c>
      <c r="I257" s="172">
        <f t="shared" si="7"/>
        <v>0</v>
      </c>
    </row>
    <row r="258" spans="2:9" ht="16.5" thickBot="1">
      <c r="B258" s="173" t="s">
        <v>157</v>
      </c>
      <c r="C258" s="323" t="s">
        <v>715</v>
      </c>
      <c r="D258" s="309"/>
      <c r="E258" s="309"/>
      <c r="F258" s="310"/>
      <c r="H258" s="172" t="b">
        <f t="shared" si="6"/>
        <v>1</v>
      </c>
      <c r="I258" s="172">
        <f t="shared" si="7"/>
        <v>0.11936911548241508</v>
      </c>
    </row>
    <row r="259" spans="2:9" ht="13.5" thickBot="1">
      <c r="B259" s="221" t="s">
        <v>319</v>
      </c>
      <c r="C259" s="222" t="s">
        <v>320</v>
      </c>
      <c r="D259" s="223" t="s">
        <v>321</v>
      </c>
      <c r="E259" s="223" t="s">
        <v>322</v>
      </c>
      <c r="F259" s="177" t="s">
        <v>323</v>
      </c>
      <c r="H259" s="172" t="b">
        <f t="shared" si="6"/>
        <v>0</v>
      </c>
      <c r="I259" s="172">
        <f t="shared" si="7"/>
        <v>0</v>
      </c>
    </row>
    <row r="260" spans="2:9" ht="15">
      <c r="B260" s="224" t="s">
        <v>343</v>
      </c>
      <c r="C260" s="232" t="s">
        <v>101</v>
      </c>
      <c r="D260" s="226">
        <v>50</v>
      </c>
      <c r="E260" s="227">
        <v>5.35</v>
      </c>
      <c r="F260" s="321">
        <v>0.11936911548241508</v>
      </c>
      <c r="H260" s="172" t="b">
        <f t="shared" ref="H260:H323" si="8">B261="CODE"</f>
        <v>0</v>
      </c>
      <c r="I260" s="172">
        <f t="shared" ref="I260:I323" si="9">IF(H260,F262,0)</f>
        <v>0</v>
      </c>
    </row>
    <row r="261" spans="2:9" ht="15">
      <c r="B261" s="228" t="s">
        <v>348</v>
      </c>
      <c r="C261" s="232" t="s">
        <v>98</v>
      </c>
      <c r="D261" s="226">
        <v>275</v>
      </c>
      <c r="E261" s="227">
        <v>62.6724784651527</v>
      </c>
      <c r="F261" s="321"/>
      <c r="H261" s="172" t="b">
        <f t="shared" si="8"/>
        <v>0</v>
      </c>
      <c r="I261" s="172">
        <f t="shared" si="9"/>
        <v>0</v>
      </c>
    </row>
    <row r="262" spans="2:9" ht="15">
      <c r="B262" s="228" t="s">
        <v>338</v>
      </c>
      <c r="C262" s="233" t="s">
        <v>117</v>
      </c>
      <c r="D262" s="183">
        <v>225</v>
      </c>
      <c r="E262" s="184">
        <v>7.8750000000000009</v>
      </c>
      <c r="F262" s="316"/>
      <c r="H262" s="172" t="b">
        <f t="shared" si="8"/>
        <v>0</v>
      </c>
      <c r="I262" s="172">
        <f t="shared" si="9"/>
        <v>0</v>
      </c>
    </row>
    <row r="263" spans="2:9" ht="15">
      <c r="B263" s="228" t="s">
        <v>339</v>
      </c>
      <c r="C263" s="233" t="s">
        <v>119</v>
      </c>
      <c r="D263" s="183">
        <v>225</v>
      </c>
      <c r="E263" s="184">
        <v>7.8750000000000009</v>
      </c>
      <c r="F263" s="316"/>
      <c r="H263" s="172" t="b">
        <f t="shared" si="8"/>
        <v>0</v>
      </c>
      <c r="I263" s="172">
        <f t="shared" si="9"/>
        <v>0</v>
      </c>
    </row>
    <row r="264" spans="2:9" ht="15">
      <c r="B264" s="228" t="s">
        <v>341</v>
      </c>
      <c r="C264" s="233" t="s">
        <v>121</v>
      </c>
      <c r="D264" s="183">
        <v>200</v>
      </c>
      <c r="E264" s="184">
        <v>7.0000000000000009</v>
      </c>
      <c r="F264" s="316"/>
      <c r="H264" s="172" t="b">
        <f t="shared" si="8"/>
        <v>0</v>
      </c>
      <c r="I264" s="172">
        <f t="shared" si="9"/>
        <v>0</v>
      </c>
    </row>
    <row r="265" spans="2:9" ht="15">
      <c r="B265" s="228" t="s">
        <v>174</v>
      </c>
      <c r="C265" s="249" t="s">
        <v>175</v>
      </c>
      <c r="D265" s="210">
        <v>0.5</v>
      </c>
      <c r="E265" s="211">
        <v>11.16</v>
      </c>
      <c r="F265" s="318"/>
      <c r="H265" s="172" t="b">
        <f t="shared" si="8"/>
        <v>0</v>
      </c>
      <c r="I265" s="172">
        <f t="shared" si="9"/>
        <v>0</v>
      </c>
    </row>
    <row r="266" spans="2:9" ht="15.75" thickBot="1">
      <c r="B266" s="230" t="s">
        <v>242</v>
      </c>
      <c r="C266" s="234" t="s">
        <v>243</v>
      </c>
      <c r="D266" s="187">
        <v>5.3</v>
      </c>
      <c r="E266" s="188">
        <v>15.144749999999998</v>
      </c>
      <c r="F266" s="322"/>
      <c r="H266" s="172" t="b">
        <f t="shared" si="8"/>
        <v>0</v>
      </c>
      <c r="I266" s="172">
        <f t="shared" si="9"/>
        <v>0</v>
      </c>
    </row>
    <row r="267" spans="2:9" ht="15">
      <c r="B267" s="190"/>
      <c r="C267" s="191"/>
      <c r="D267" s="191">
        <v>980.8</v>
      </c>
      <c r="E267" s="192">
        <v>117.0772284651527</v>
      </c>
      <c r="F267" s="191"/>
      <c r="H267" s="172" t="b">
        <f t="shared" si="8"/>
        <v>0</v>
      </c>
      <c r="I267" s="172">
        <f t="shared" si="9"/>
        <v>0</v>
      </c>
    </row>
    <row r="268" spans="2:9">
      <c r="B268" s="190"/>
      <c r="H268" s="172" t="b">
        <f t="shared" si="8"/>
        <v>0</v>
      </c>
      <c r="I268" s="172">
        <f t="shared" si="9"/>
        <v>0</v>
      </c>
    </row>
    <row r="269" spans="2:9" ht="13.5" thickBot="1">
      <c r="H269" s="172" t="b">
        <f t="shared" si="8"/>
        <v>0</v>
      </c>
      <c r="I269" s="172">
        <f t="shared" si="9"/>
        <v>0</v>
      </c>
    </row>
    <row r="270" spans="2:9" ht="16.5" thickBot="1">
      <c r="B270" s="220" t="s">
        <v>162</v>
      </c>
      <c r="C270" s="323" t="s">
        <v>716</v>
      </c>
      <c r="D270" s="309"/>
      <c r="E270" s="309"/>
      <c r="F270" s="310"/>
      <c r="H270" s="172" t="b">
        <f t="shared" si="8"/>
        <v>1</v>
      </c>
      <c r="I270" s="172">
        <f t="shared" si="9"/>
        <v>0.57634249051437958</v>
      </c>
    </row>
    <row r="271" spans="2:9" ht="13.5" thickBot="1">
      <c r="B271" s="174" t="s">
        <v>319</v>
      </c>
      <c r="C271" s="222" t="s">
        <v>320</v>
      </c>
      <c r="D271" s="223" t="s">
        <v>321</v>
      </c>
      <c r="E271" s="223" t="s">
        <v>322</v>
      </c>
      <c r="F271" s="177" t="s">
        <v>323</v>
      </c>
      <c r="H271" s="172" t="b">
        <f t="shared" si="8"/>
        <v>0</v>
      </c>
      <c r="I271" s="172">
        <f t="shared" si="9"/>
        <v>0</v>
      </c>
    </row>
    <row r="272" spans="2:9" ht="15">
      <c r="B272" s="235" t="s">
        <v>343</v>
      </c>
      <c r="C272" s="225" t="s">
        <v>101</v>
      </c>
      <c r="D272" s="226">
        <v>200</v>
      </c>
      <c r="E272" s="227">
        <v>21.4</v>
      </c>
      <c r="F272" s="321">
        <v>0.57634249051437958</v>
      </c>
      <c r="H272" s="172" t="b">
        <f t="shared" si="8"/>
        <v>0</v>
      </c>
      <c r="I272" s="172">
        <f t="shared" si="9"/>
        <v>0</v>
      </c>
    </row>
    <row r="273" spans="2:9" ht="15">
      <c r="B273" s="228" t="s">
        <v>348</v>
      </c>
      <c r="C273" s="225" t="s">
        <v>98</v>
      </c>
      <c r="D273" s="226">
        <v>50</v>
      </c>
      <c r="E273" s="227">
        <v>11.394996084573219</v>
      </c>
      <c r="F273" s="321"/>
      <c r="H273" s="172" t="b">
        <f t="shared" si="8"/>
        <v>0</v>
      </c>
      <c r="I273" s="172">
        <f t="shared" si="9"/>
        <v>0</v>
      </c>
    </row>
    <row r="274" spans="2:9" ht="15">
      <c r="B274" s="228" t="s">
        <v>351</v>
      </c>
      <c r="C274" s="225" t="s">
        <v>96</v>
      </c>
      <c r="D274" s="226">
        <v>240</v>
      </c>
      <c r="E274" s="227">
        <v>292.8</v>
      </c>
      <c r="F274" s="321"/>
      <c r="H274" s="172" t="b">
        <f t="shared" si="8"/>
        <v>0</v>
      </c>
      <c r="I274" s="172">
        <f t="shared" si="9"/>
        <v>0</v>
      </c>
    </row>
    <row r="275" spans="2:9" ht="15">
      <c r="B275" s="228" t="s">
        <v>352</v>
      </c>
      <c r="C275" s="225" t="s">
        <v>92</v>
      </c>
      <c r="D275" s="226">
        <v>250</v>
      </c>
      <c r="E275" s="227">
        <v>146.5</v>
      </c>
      <c r="F275" s="321"/>
      <c r="H275" s="172" t="b">
        <f t="shared" si="8"/>
        <v>0</v>
      </c>
      <c r="I275" s="172">
        <f t="shared" si="9"/>
        <v>0</v>
      </c>
    </row>
    <row r="276" spans="2:9" ht="15">
      <c r="B276" s="228" t="s">
        <v>336</v>
      </c>
      <c r="C276" s="229" t="s">
        <v>115</v>
      </c>
      <c r="D276" s="183">
        <v>77</v>
      </c>
      <c r="E276" s="184">
        <v>4.4275000000000002</v>
      </c>
      <c r="F276" s="316"/>
      <c r="H276" s="172" t="b">
        <f t="shared" si="8"/>
        <v>0</v>
      </c>
      <c r="I276" s="172">
        <f t="shared" si="9"/>
        <v>0</v>
      </c>
    </row>
    <row r="277" spans="2:9" ht="15">
      <c r="B277" s="228" t="s">
        <v>338</v>
      </c>
      <c r="C277" s="229" t="s">
        <v>117</v>
      </c>
      <c r="D277" s="183">
        <v>48</v>
      </c>
      <c r="E277" s="184">
        <v>1.6800000000000002</v>
      </c>
      <c r="F277" s="316"/>
      <c r="H277" s="172" t="b">
        <f t="shared" si="8"/>
        <v>0</v>
      </c>
      <c r="I277" s="172">
        <f t="shared" si="9"/>
        <v>0</v>
      </c>
    </row>
    <row r="278" spans="2:9" ht="15">
      <c r="B278" s="228" t="s">
        <v>339</v>
      </c>
      <c r="C278" s="229" t="s">
        <v>119</v>
      </c>
      <c r="D278" s="183">
        <v>125</v>
      </c>
      <c r="E278" s="184">
        <v>4.375</v>
      </c>
      <c r="F278" s="316"/>
      <c r="H278" s="172" t="b">
        <f t="shared" si="8"/>
        <v>0</v>
      </c>
      <c r="I278" s="172">
        <f t="shared" si="9"/>
        <v>0</v>
      </c>
    </row>
    <row r="279" spans="2:9" ht="15.75" thickBot="1">
      <c r="B279" s="230" t="s">
        <v>248</v>
      </c>
      <c r="C279" s="231" t="s">
        <v>249</v>
      </c>
      <c r="D279" s="187">
        <v>2.6</v>
      </c>
      <c r="E279" s="188">
        <v>89.500060000000005</v>
      </c>
      <c r="F279" s="322"/>
      <c r="H279" s="172" t="b">
        <f t="shared" si="8"/>
        <v>0</v>
      </c>
      <c r="I279" s="172">
        <f t="shared" si="9"/>
        <v>0</v>
      </c>
    </row>
    <row r="280" spans="2:9" ht="15">
      <c r="C280" s="191"/>
      <c r="D280" s="191">
        <v>992.6</v>
      </c>
      <c r="E280" s="192">
        <v>572.07755608457319</v>
      </c>
      <c r="F280" s="191"/>
      <c r="H280" s="172" t="b">
        <f t="shared" si="8"/>
        <v>0</v>
      </c>
      <c r="I280" s="172">
        <f t="shared" si="9"/>
        <v>0</v>
      </c>
    </row>
    <row r="281" spans="2:9">
      <c r="H281" s="172" t="b">
        <f t="shared" si="8"/>
        <v>0</v>
      </c>
      <c r="I281" s="172">
        <f t="shared" si="9"/>
        <v>0</v>
      </c>
    </row>
    <row r="282" spans="2:9" ht="13.5" thickBot="1">
      <c r="H282" s="172" t="b">
        <f t="shared" si="8"/>
        <v>0</v>
      </c>
      <c r="I282" s="172">
        <f t="shared" si="9"/>
        <v>0</v>
      </c>
    </row>
    <row r="283" spans="2:9" ht="16.5" thickBot="1">
      <c r="B283" s="220" t="s">
        <v>153</v>
      </c>
      <c r="C283" s="323" t="s">
        <v>717</v>
      </c>
      <c r="D283" s="309"/>
      <c r="E283" s="309"/>
      <c r="F283" s="310"/>
      <c r="H283" s="172" t="b">
        <f t="shared" si="8"/>
        <v>1</v>
      </c>
      <c r="I283" s="172">
        <f t="shared" si="9"/>
        <v>0.16454701569214297</v>
      </c>
    </row>
    <row r="284" spans="2:9" ht="13.5" thickBot="1">
      <c r="B284" s="174" t="s">
        <v>319</v>
      </c>
      <c r="C284" s="222" t="s">
        <v>320</v>
      </c>
      <c r="D284" s="223" t="s">
        <v>321</v>
      </c>
      <c r="E284" s="223" t="s">
        <v>322</v>
      </c>
      <c r="F284" s="177" t="s">
        <v>323</v>
      </c>
      <c r="H284" s="172" t="b">
        <f t="shared" si="8"/>
        <v>0</v>
      </c>
      <c r="I284" s="172">
        <f t="shared" si="9"/>
        <v>0</v>
      </c>
    </row>
    <row r="285" spans="2:9" ht="15">
      <c r="B285" s="235" t="s">
        <v>343</v>
      </c>
      <c r="C285" s="232" t="s">
        <v>101</v>
      </c>
      <c r="D285" s="226">
        <v>350</v>
      </c>
      <c r="E285" s="227">
        <v>79.764972592012526</v>
      </c>
      <c r="F285" s="321">
        <v>0.16454701569214297</v>
      </c>
      <c r="H285" s="172" t="b">
        <f t="shared" si="8"/>
        <v>0</v>
      </c>
      <c r="I285" s="172">
        <f t="shared" si="9"/>
        <v>0</v>
      </c>
    </row>
    <row r="286" spans="2:9" ht="15">
      <c r="B286" s="228" t="s">
        <v>338</v>
      </c>
      <c r="C286" s="233" t="s">
        <v>353</v>
      </c>
      <c r="D286" s="226">
        <v>300</v>
      </c>
      <c r="E286" s="227">
        <v>10.500000000000002</v>
      </c>
      <c r="F286" s="321"/>
      <c r="H286" s="172" t="b">
        <f t="shared" si="8"/>
        <v>0</v>
      </c>
      <c r="I286" s="172">
        <f t="shared" si="9"/>
        <v>0</v>
      </c>
    </row>
    <row r="287" spans="2:9" ht="15">
      <c r="B287" s="228" t="s">
        <v>339</v>
      </c>
      <c r="C287" s="233" t="s">
        <v>354</v>
      </c>
      <c r="D287" s="226">
        <v>350</v>
      </c>
      <c r="E287" s="227">
        <v>12.250000000000002</v>
      </c>
      <c r="F287" s="321"/>
      <c r="H287" s="172" t="b">
        <f t="shared" si="8"/>
        <v>0</v>
      </c>
      <c r="I287" s="172">
        <f t="shared" si="9"/>
        <v>0</v>
      </c>
    </row>
    <row r="288" spans="2:9" ht="15.75" thickBot="1">
      <c r="B288" s="230" t="s">
        <v>246</v>
      </c>
      <c r="C288" s="234" t="s">
        <v>247</v>
      </c>
      <c r="D288" s="187">
        <v>44.6</v>
      </c>
      <c r="E288" s="188">
        <v>69.370840000000001</v>
      </c>
      <c r="F288" s="322"/>
      <c r="H288" s="172" t="b">
        <f t="shared" si="8"/>
        <v>0</v>
      </c>
      <c r="I288" s="172">
        <f t="shared" si="9"/>
        <v>0</v>
      </c>
    </row>
    <row r="289" spans="2:9" ht="15">
      <c r="B289" s="243"/>
      <c r="C289" s="191"/>
      <c r="D289" s="191">
        <v>1044.5999999999999</v>
      </c>
      <c r="E289" s="192">
        <v>171.88581259201254</v>
      </c>
      <c r="F289" s="191"/>
      <c r="H289" s="172" t="b">
        <f t="shared" si="8"/>
        <v>0</v>
      </c>
      <c r="I289" s="172">
        <f t="shared" si="9"/>
        <v>0</v>
      </c>
    </row>
    <row r="290" spans="2:9">
      <c r="B290" s="243"/>
      <c r="H290" s="172" t="b">
        <f t="shared" si="8"/>
        <v>0</v>
      </c>
      <c r="I290" s="172">
        <f t="shared" si="9"/>
        <v>0</v>
      </c>
    </row>
    <row r="291" spans="2:9" ht="13.5" thickBot="1">
      <c r="H291" s="172" t="b">
        <f t="shared" si="8"/>
        <v>0</v>
      </c>
      <c r="I291" s="172">
        <f t="shared" si="9"/>
        <v>0</v>
      </c>
    </row>
    <row r="292" spans="2:9" ht="16.5" thickBot="1">
      <c r="B292" s="220" t="s">
        <v>151</v>
      </c>
      <c r="C292" s="323" t="s">
        <v>718</v>
      </c>
      <c r="D292" s="309"/>
      <c r="E292" s="309"/>
      <c r="F292" s="310"/>
      <c r="H292" s="172" t="b">
        <f t="shared" si="8"/>
        <v>1</v>
      </c>
      <c r="I292" s="172">
        <f t="shared" si="9"/>
        <v>0.12414857792946528</v>
      </c>
    </row>
    <row r="293" spans="2:9" ht="13.5" thickBot="1">
      <c r="B293" s="174" t="s">
        <v>319</v>
      </c>
      <c r="C293" s="222" t="s">
        <v>320</v>
      </c>
      <c r="D293" s="223" t="s">
        <v>321</v>
      </c>
      <c r="E293" s="223" t="s">
        <v>322</v>
      </c>
      <c r="F293" s="177" t="s">
        <v>323</v>
      </c>
      <c r="H293" s="172" t="b">
        <f t="shared" si="8"/>
        <v>0</v>
      </c>
      <c r="I293" s="172">
        <f t="shared" si="9"/>
        <v>0</v>
      </c>
    </row>
    <row r="294" spans="2:9" ht="15">
      <c r="B294" s="235" t="s">
        <v>343</v>
      </c>
      <c r="C294" s="232" t="s">
        <v>101</v>
      </c>
      <c r="D294" s="226">
        <v>360</v>
      </c>
      <c r="E294" s="227">
        <v>38.519999999999996</v>
      </c>
      <c r="F294" s="321">
        <v>0.12414857792946528</v>
      </c>
      <c r="H294" s="172" t="b">
        <f t="shared" si="8"/>
        <v>0</v>
      </c>
      <c r="I294" s="172">
        <f t="shared" si="9"/>
        <v>0</v>
      </c>
    </row>
    <row r="295" spans="2:9" ht="15">
      <c r="B295" s="228" t="s">
        <v>338</v>
      </c>
      <c r="C295" s="233" t="s">
        <v>353</v>
      </c>
      <c r="D295" s="226">
        <v>150</v>
      </c>
      <c r="E295" s="227">
        <v>5.2500000000000009</v>
      </c>
      <c r="F295" s="321"/>
      <c r="H295" s="172" t="b">
        <f t="shared" si="8"/>
        <v>0</v>
      </c>
      <c r="I295" s="172">
        <f t="shared" si="9"/>
        <v>0</v>
      </c>
    </row>
    <row r="296" spans="2:9" ht="15">
      <c r="B296" s="228" t="s">
        <v>339</v>
      </c>
      <c r="C296" s="233" t="s">
        <v>354</v>
      </c>
      <c r="D296" s="226">
        <v>150</v>
      </c>
      <c r="E296" s="227">
        <v>5.2500000000000009</v>
      </c>
      <c r="F296" s="321"/>
      <c r="H296" s="172" t="b">
        <f t="shared" si="8"/>
        <v>0</v>
      </c>
      <c r="I296" s="172">
        <f t="shared" si="9"/>
        <v>0</v>
      </c>
    </row>
    <row r="297" spans="2:9" ht="15">
      <c r="B297" s="228" t="s">
        <v>341</v>
      </c>
      <c r="C297" s="233" t="s">
        <v>121</v>
      </c>
      <c r="D297" s="183">
        <v>150</v>
      </c>
      <c r="E297" s="184">
        <v>5.2500000000000009</v>
      </c>
      <c r="F297" s="316"/>
      <c r="H297" s="172" t="b">
        <f t="shared" si="8"/>
        <v>0</v>
      </c>
      <c r="I297" s="172">
        <f t="shared" si="9"/>
        <v>0</v>
      </c>
    </row>
    <row r="298" spans="2:9" ht="15">
      <c r="B298" s="228" t="s">
        <v>347</v>
      </c>
      <c r="C298" s="233" t="s">
        <v>355</v>
      </c>
      <c r="D298" s="183">
        <v>200</v>
      </c>
      <c r="E298" s="184">
        <v>7.0000000000000009</v>
      </c>
      <c r="F298" s="316"/>
      <c r="H298" s="172" t="b">
        <f t="shared" si="8"/>
        <v>0</v>
      </c>
      <c r="I298" s="172">
        <f t="shared" si="9"/>
        <v>0</v>
      </c>
    </row>
    <row r="299" spans="2:9" ht="15.75" thickBot="1">
      <c r="B299" s="230" t="s">
        <v>246</v>
      </c>
      <c r="C299" s="234" t="s">
        <v>247</v>
      </c>
      <c r="D299" s="187">
        <v>44.8</v>
      </c>
      <c r="E299" s="188">
        <v>69.681919999999991</v>
      </c>
      <c r="F299" s="322"/>
      <c r="H299" s="172" t="b">
        <f t="shared" si="8"/>
        <v>0</v>
      </c>
      <c r="I299" s="172">
        <f t="shared" si="9"/>
        <v>0</v>
      </c>
    </row>
    <row r="300" spans="2:9" ht="15">
      <c r="C300" s="191"/>
      <c r="D300" s="191">
        <v>1054.8</v>
      </c>
      <c r="E300" s="192">
        <v>130.95191999999997</v>
      </c>
      <c r="F300" s="191"/>
      <c r="H300" s="172" t="b">
        <f t="shared" si="8"/>
        <v>0</v>
      </c>
      <c r="I300" s="172">
        <f t="shared" si="9"/>
        <v>0</v>
      </c>
    </row>
    <row r="301" spans="2:9">
      <c r="H301" s="172" t="b">
        <f t="shared" si="8"/>
        <v>0</v>
      </c>
      <c r="I301" s="172">
        <f t="shared" si="9"/>
        <v>0</v>
      </c>
    </row>
    <row r="302" spans="2:9" ht="13.5" thickBot="1">
      <c r="H302" s="172" t="b">
        <f t="shared" si="8"/>
        <v>0</v>
      </c>
      <c r="I302" s="172">
        <f t="shared" si="9"/>
        <v>0</v>
      </c>
    </row>
    <row r="303" spans="2:9" ht="16.5" thickBot="1">
      <c r="B303" s="220" t="s">
        <v>160</v>
      </c>
      <c r="C303" s="323" t="s">
        <v>719</v>
      </c>
      <c r="D303" s="309"/>
      <c r="E303" s="309"/>
      <c r="F303" s="310"/>
      <c r="H303" s="172" t="b">
        <f t="shared" si="8"/>
        <v>1</v>
      </c>
      <c r="I303" s="172">
        <f t="shared" si="9"/>
        <v>0.14640111648678825</v>
      </c>
    </row>
    <row r="304" spans="2:9" ht="13.5" thickBot="1">
      <c r="B304" s="174" t="s">
        <v>319</v>
      </c>
      <c r="C304" s="222" t="s">
        <v>320</v>
      </c>
      <c r="D304" s="223" t="s">
        <v>321</v>
      </c>
      <c r="E304" s="223" t="s">
        <v>322</v>
      </c>
      <c r="F304" s="177" t="s">
        <v>323</v>
      </c>
      <c r="H304" s="172" t="b">
        <f t="shared" si="8"/>
        <v>0</v>
      </c>
      <c r="I304" s="172">
        <f t="shared" si="9"/>
        <v>0</v>
      </c>
    </row>
    <row r="305" spans="2:9" ht="15">
      <c r="B305" s="235" t="s">
        <v>343</v>
      </c>
      <c r="C305" s="232" t="s">
        <v>101</v>
      </c>
      <c r="D305" s="226">
        <v>360</v>
      </c>
      <c r="E305" s="227">
        <v>38.519999999999996</v>
      </c>
      <c r="F305" s="321">
        <v>0.14640111648678825</v>
      </c>
      <c r="H305" s="172" t="b">
        <f t="shared" si="8"/>
        <v>0</v>
      </c>
      <c r="I305" s="172">
        <f t="shared" si="9"/>
        <v>0</v>
      </c>
    </row>
    <row r="306" spans="2:9" ht="15">
      <c r="B306" s="228" t="s">
        <v>338</v>
      </c>
      <c r="C306" s="233" t="s">
        <v>353</v>
      </c>
      <c r="D306" s="226">
        <v>150</v>
      </c>
      <c r="E306" s="227">
        <v>5.2500000000000009</v>
      </c>
      <c r="F306" s="321"/>
      <c r="H306" s="172" t="b">
        <f t="shared" si="8"/>
        <v>0</v>
      </c>
      <c r="I306" s="172">
        <f t="shared" si="9"/>
        <v>0</v>
      </c>
    </row>
    <row r="307" spans="2:9" ht="15">
      <c r="B307" s="228" t="s">
        <v>339</v>
      </c>
      <c r="C307" s="233" t="s">
        <v>354</v>
      </c>
      <c r="D307" s="226">
        <v>150</v>
      </c>
      <c r="E307" s="227">
        <v>5.2500000000000009</v>
      </c>
      <c r="F307" s="321"/>
      <c r="H307" s="172" t="b">
        <f t="shared" si="8"/>
        <v>0</v>
      </c>
      <c r="I307" s="172">
        <f t="shared" si="9"/>
        <v>0</v>
      </c>
    </row>
    <row r="308" spans="2:9" ht="15">
      <c r="B308" s="228" t="s">
        <v>341</v>
      </c>
      <c r="C308" s="233" t="s">
        <v>121</v>
      </c>
      <c r="D308" s="183">
        <v>150</v>
      </c>
      <c r="E308" s="184">
        <v>5.2500000000000009</v>
      </c>
      <c r="F308" s="316"/>
      <c r="H308" s="172" t="b">
        <f t="shared" si="8"/>
        <v>0</v>
      </c>
      <c r="I308" s="172">
        <f t="shared" si="9"/>
        <v>0</v>
      </c>
    </row>
    <row r="309" spans="2:9" ht="15">
      <c r="B309" s="228" t="s">
        <v>347</v>
      </c>
      <c r="C309" s="233" t="s">
        <v>355</v>
      </c>
      <c r="D309" s="183">
        <v>200</v>
      </c>
      <c r="E309" s="184">
        <v>7.0000000000000009</v>
      </c>
      <c r="F309" s="316"/>
      <c r="H309" s="172" t="b">
        <f t="shared" si="8"/>
        <v>0</v>
      </c>
      <c r="I309" s="172">
        <f t="shared" si="9"/>
        <v>0</v>
      </c>
    </row>
    <row r="310" spans="2:9" ht="15">
      <c r="B310" s="228" t="s">
        <v>166</v>
      </c>
      <c r="C310" s="229" t="s">
        <v>350</v>
      </c>
      <c r="D310" s="210">
        <v>20</v>
      </c>
      <c r="E310" s="211">
        <v>26.400000000000002</v>
      </c>
      <c r="F310" s="318"/>
      <c r="H310" s="172" t="b">
        <f t="shared" si="8"/>
        <v>0</v>
      </c>
      <c r="I310" s="172">
        <f t="shared" si="9"/>
        <v>0</v>
      </c>
    </row>
    <row r="311" spans="2:9" ht="15.75" thickBot="1">
      <c r="B311" s="230" t="s">
        <v>246</v>
      </c>
      <c r="C311" s="234" t="s">
        <v>247</v>
      </c>
      <c r="D311" s="187">
        <v>44.8</v>
      </c>
      <c r="E311" s="188">
        <v>69.681919999999991</v>
      </c>
      <c r="F311" s="322"/>
      <c r="H311" s="172" t="b">
        <f t="shared" si="8"/>
        <v>0</v>
      </c>
      <c r="I311" s="172">
        <f t="shared" si="9"/>
        <v>0</v>
      </c>
    </row>
    <row r="312" spans="2:9" ht="15">
      <c r="C312" s="191"/>
      <c r="D312" s="191">
        <v>1074.8</v>
      </c>
      <c r="E312" s="192">
        <v>157.35192000000001</v>
      </c>
      <c r="F312" s="191"/>
      <c r="H312" s="172" t="b">
        <f t="shared" si="8"/>
        <v>0</v>
      </c>
      <c r="I312" s="172">
        <f t="shared" si="9"/>
        <v>0</v>
      </c>
    </row>
    <row r="313" spans="2:9">
      <c r="H313" s="172" t="b">
        <f t="shared" si="8"/>
        <v>0</v>
      </c>
      <c r="I313" s="172">
        <f t="shared" si="9"/>
        <v>0</v>
      </c>
    </row>
    <row r="314" spans="2:9" ht="13.5" thickBot="1">
      <c r="H314" s="172" t="b">
        <f t="shared" si="8"/>
        <v>0</v>
      </c>
      <c r="I314" s="172">
        <f t="shared" si="9"/>
        <v>0</v>
      </c>
    </row>
    <row r="315" spans="2:9" ht="16.5" thickBot="1">
      <c r="B315" s="220" t="s">
        <v>161</v>
      </c>
      <c r="C315" s="323" t="s">
        <v>720</v>
      </c>
      <c r="D315" s="309"/>
      <c r="E315" s="309"/>
      <c r="F315" s="310"/>
      <c r="H315" s="172" t="b">
        <f t="shared" si="8"/>
        <v>1</v>
      </c>
      <c r="I315" s="172">
        <f t="shared" si="9"/>
        <v>0.20967623204218949</v>
      </c>
    </row>
    <row r="316" spans="2:9" ht="13.5" thickBot="1">
      <c r="B316" s="174" t="s">
        <v>319</v>
      </c>
      <c r="C316" s="222" t="s">
        <v>320</v>
      </c>
      <c r="D316" s="223" t="s">
        <v>321</v>
      </c>
      <c r="E316" s="223" t="s">
        <v>322</v>
      </c>
      <c r="F316" s="177" t="s">
        <v>323</v>
      </c>
      <c r="H316" s="172" t="b">
        <f t="shared" si="8"/>
        <v>0</v>
      </c>
      <c r="I316" s="172">
        <f t="shared" si="9"/>
        <v>0</v>
      </c>
    </row>
    <row r="317" spans="2:9" ht="15">
      <c r="B317" s="235" t="s">
        <v>343</v>
      </c>
      <c r="C317" s="232" t="s">
        <v>101</v>
      </c>
      <c r="D317" s="226">
        <v>360</v>
      </c>
      <c r="E317" s="227">
        <v>38.519999999999996</v>
      </c>
      <c r="F317" s="321">
        <v>0.20967623204218949</v>
      </c>
      <c r="H317" s="172" t="b">
        <f t="shared" si="8"/>
        <v>0</v>
      </c>
      <c r="I317" s="172">
        <f t="shared" si="9"/>
        <v>0</v>
      </c>
    </row>
    <row r="318" spans="2:9" ht="15">
      <c r="B318" s="228" t="s">
        <v>338</v>
      </c>
      <c r="C318" s="233" t="s">
        <v>353</v>
      </c>
      <c r="D318" s="226">
        <v>150</v>
      </c>
      <c r="E318" s="227">
        <v>5.2500000000000009</v>
      </c>
      <c r="F318" s="321"/>
      <c r="H318" s="172" t="b">
        <f t="shared" si="8"/>
        <v>0</v>
      </c>
      <c r="I318" s="172">
        <f t="shared" si="9"/>
        <v>0</v>
      </c>
    </row>
    <row r="319" spans="2:9" ht="15">
      <c r="B319" s="228" t="s">
        <v>339</v>
      </c>
      <c r="C319" s="233" t="s">
        <v>354</v>
      </c>
      <c r="D319" s="226">
        <v>150</v>
      </c>
      <c r="E319" s="227">
        <v>5.2500000000000009</v>
      </c>
      <c r="F319" s="321"/>
      <c r="H319" s="172" t="b">
        <f t="shared" si="8"/>
        <v>0</v>
      </c>
      <c r="I319" s="172">
        <f t="shared" si="9"/>
        <v>0</v>
      </c>
    </row>
    <row r="320" spans="2:9" ht="15">
      <c r="B320" s="228" t="s">
        <v>341</v>
      </c>
      <c r="C320" s="233" t="s">
        <v>121</v>
      </c>
      <c r="D320" s="183">
        <v>150</v>
      </c>
      <c r="E320" s="184">
        <v>5.2500000000000009</v>
      </c>
      <c r="F320" s="316"/>
      <c r="H320" s="172" t="b">
        <f t="shared" si="8"/>
        <v>0</v>
      </c>
      <c r="I320" s="172">
        <f t="shared" si="9"/>
        <v>0</v>
      </c>
    </row>
    <row r="321" spans="2:9" ht="15">
      <c r="B321" s="228" t="s">
        <v>347</v>
      </c>
      <c r="C321" s="233" t="s">
        <v>355</v>
      </c>
      <c r="D321" s="183">
        <v>200</v>
      </c>
      <c r="E321" s="184">
        <v>7.0000000000000009</v>
      </c>
      <c r="F321" s="316"/>
      <c r="H321" s="172" t="b">
        <f t="shared" si="8"/>
        <v>0</v>
      </c>
      <c r="I321" s="172">
        <f t="shared" si="9"/>
        <v>0</v>
      </c>
    </row>
    <row r="322" spans="2:9" ht="15">
      <c r="B322" s="228" t="s">
        <v>166</v>
      </c>
      <c r="C322" s="229" t="s">
        <v>350</v>
      </c>
      <c r="D322" s="210">
        <v>20</v>
      </c>
      <c r="E322" s="211">
        <v>26.400000000000002</v>
      </c>
      <c r="F322" s="318"/>
      <c r="H322" s="172" t="b">
        <f t="shared" si="8"/>
        <v>0</v>
      </c>
      <c r="I322" s="172">
        <f t="shared" si="9"/>
        <v>0</v>
      </c>
    </row>
    <row r="323" spans="2:9" ht="15">
      <c r="B323" s="228" t="s">
        <v>329</v>
      </c>
      <c r="C323" s="247" t="s">
        <v>194</v>
      </c>
      <c r="D323" s="210">
        <v>25</v>
      </c>
      <c r="E323" s="211">
        <v>73.25</v>
      </c>
      <c r="F323" s="318"/>
      <c r="H323" s="172" t="b">
        <f t="shared" si="8"/>
        <v>0</v>
      </c>
      <c r="I323" s="172">
        <f t="shared" si="9"/>
        <v>0</v>
      </c>
    </row>
    <row r="324" spans="2:9" ht="15.75" thickBot="1">
      <c r="B324" s="230" t="s">
        <v>246</v>
      </c>
      <c r="C324" s="234" t="s">
        <v>247</v>
      </c>
      <c r="D324" s="187">
        <v>44.8</v>
      </c>
      <c r="E324" s="188">
        <v>69.681919999999991</v>
      </c>
      <c r="F324" s="322"/>
      <c r="H324" s="172" t="b">
        <f t="shared" ref="H324:H387" si="10">B325="CODE"</f>
        <v>0</v>
      </c>
      <c r="I324" s="172">
        <f t="shared" ref="I324:I387" si="11">IF(H324,F326,0)</f>
        <v>0</v>
      </c>
    </row>
    <row r="325" spans="2:9" ht="15">
      <c r="C325" s="191"/>
      <c r="D325" s="191">
        <v>1099.8</v>
      </c>
      <c r="E325" s="192">
        <v>230.60192000000001</v>
      </c>
      <c r="F325" s="191"/>
      <c r="H325" s="172" t="b">
        <f t="shared" si="10"/>
        <v>0</v>
      </c>
      <c r="I325" s="172">
        <f t="shared" si="11"/>
        <v>0</v>
      </c>
    </row>
    <row r="326" spans="2:9" ht="13.5" thickBot="1">
      <c r="H326" s="172" t="b">
        <f t="shared" si="10"/>
        <v>0</v>
      </c>
      <c r="I326" s="172">
        <f t="shared" si="11"/>
        <v>0</v>
      </c>
    </row>
    <row r="327" spans="2:9" ht="16.5" thickBot="1">
      <c r="B327" s="220" t="s">
        <v>130</v>
      </c>
      <c r="C327" s="309" t="s">
        <v>721</v>
      </c>
      <c r="D327" s="309"/>
      <c r="E327" s="309"/>
      <c r="F327" s="310"/>
      <c r="H327" s="172" t="b">
        <f t="shared" si="10"/>
        <v>1</v>
      </c>
      <c r="I327" s="172">
        <f t="shared" si="11"/>
        <v>0.60927039716765752</v>
      </c>
    </row>
    <row r="328" spans="2:9" ht="13.5" thickBot="1">
      <c r="B328" s="174" t="s">
        <v>319</v>
      </c>
      <c r="C328" s="222" t="s">
        <v>320</v>
      </c>
      <c r="D328" s="223" t="s">
        <v>321</v>
      </c>
      <c r="E328" s="223" t="s">
        <v>322</v>
      </c>
      <c r="F328" s="177" t="s">
        <v>323</v>
      </c>
      <c r="H328" s="172" t="b">
        <f t="shared" si="10"/>
        <v>0</v>
      </c>
      <c r="I328" s="172">
        <f t="shared" si="11"/>
        <v>0</v>
      </c>
    </row>
    <row r="329" spans="2:9" ht="15">
      <c r="B329" s="235" t="s">
        <v>348</v>
      </c>
      <c r="C329" s="251" t="s">
        <v>98</v>
      </c>
      <c r="D329" s="252">
        <v>9.1999999999999993</v>
      </c>
      <c r="E329" s="253">
        <v>2.0966792795614722</v>
      </c>
      <c r="F329" s="319">
        <v>0.60927039716765752</v>
      </c>
      <c r="H329" s="172" t="b">
        <f t="shared" si="10"/>
        <v>0</v>
      </c>
      <c r="I329" s="172">
        <f t="shared" si="11"/>
        <v>0</v>
      </c>
    </row>
    <row r="330" spans="2:9" ht="15">
      <c r="B330" s="228" t="s">
        <v>336</v>
      </c>
      <c r="C330" s="233" t="s">
        <v>115</v>
      </c>
      <c r="D330" s="254">
        <v>7</v>
      </c>
      <c r="E330" s="255">
        <v>0.40250000000000002</v>
      </c>
      <c r="F330" s="329"/>
      <c r="H330" s="172" t="b">
        <f t="shared" si="10"/>
        <v>0</v>
      </c>
      <c r="I330" s="172">
        <f t="shared" si="11"/>
        <v>0</v>
      </c>
    </row>
    <row r="331" spans="2:9" ht="15">
      <c r="B331" s="228" t="s">
        <v>338</v>
      </c>
      <c r="C331" s="233" t="s">
        <v>117</v>
      </c>
      <c r="D331" s="254">
        <v>2.2999999999999998</v>
      </c>
      <c r="E331" s="255">
        <v>8.0500000000000002E-2</v>
      </c>
      <c r="F331" s="329"/>
      <c r="H331" s="172" t="b">
        <f t="shared" si="10"/>
        <v>0</v>
      </c>
      <c r="I331" s="172">
        <f t="shared" si="11"/>
        <v>0</v>
      </c>
    </row>
    <row r="332" spans="2:9" ht="15">
      <c r="B332" s="228" t="s">
        <v>331</v>
      </c>
      <c r="C332" s="233" t="s">
        <v>279</v>
      </c>
      <c r="D332" s="254">
        <v>1</v>
      </c>
      <c r="E332" s="255">
        <v>9.4500000000000001E-2</v>
      </c>
      <c r="F332" s="329"/>
      <c r="H332" s="172" t="b">
        <f t="shared" si="10"/>
        <v>0</v>
      </c>
      <c r="I332" s="172">
        <f t="shared" si="11"/>
        <v>0</v>
      </c>
    </row>
    <row r="333" spans="2:9" ht="15">
      <c r="B333" s="228" t="s">
        <v>356</v>
      </c>
      <c r="C333" s="233" t="s">
        <v>253</v>
      </c>
      <c r="D333" s="254">
        <v>0.1</v>
      </c>
      <c r="E333" s="255">
        <v>0.31000000000000005</v>
      </c>
      <c r="F333" s="329"/>
      <c r="H333" s="172" t="b">
        <f t="shared" si="10"/>
        <v>0</v>
      </c>
      <c r="I333" s="172">
        <f t="shared" si="11"/>
        <v>0</v>
      </c>
    </row>
    <row r="334" spans="2:9" ht="15">
      <c r="B334" s="228" t="s">
        <v>333</v>
      </c>
      <c r="C334" s="233" t="s">
        <v>127</v>
      </c>
      <c r="D334" s="254">
        <v>0.4</v>
      </c>
      <c r="E334" s="255">
        <v>0.18080000000000002</v>
      </c>
      <c r="F334" s="329"/>
      <c r="H334" s="172" t="b">
        <f t="shared" si="10"/>
        <v>0</v>
      </c>
      <c r="I334" s="172">
        <f t="shared" si="11"/>
        <v>0</v>
      </c>
    </row>
    <row r="335" spans="2:9" ht="15">
      <c r="B335" s="228" t="s">
        <v>305</v>
      </c>
      <c r="C335" s="249" t="s">
        <v>306</v>
      </c>
      <c r="D335" s="256">
        <v>1</v>
      </c>
      <c r="E335" s="257">
        <v>4.3E-3</v>
      </c>
      <c r="F335" s="329"/>
      <c r="H335" s="172" t="b">
        <f t="shared" si="10"/>
        <v>0</v>
      </c>
      <c r="I335" s="172">
        <f t="shared" si="11"/>
        <v>0</v>
      </c>
    </row>
    <row r="336" spans="2:9" ht="15.75" thickBot="1">
      <c r="B336" s="230" t="s">
        <v>357</v>
      </c>
      <c r="C336" s="234" t="s">
        <v>138</v>
      </c>
      <c r="D336" s="258">
        <v>7.4</v>
      </c>
      <c r="E336" s="259">
        <v>14.134</v>
      </c>
      <c r="F336" s="320"/>
      <c r="H336" s="172" t="b">
        <f t="shared" si="10"/>
        <v>0</v>
      </c>
      <c r="I336" s="172">
        <f t="shared" si="11"/>
        <v>0</v>
      </c>
    </row>
    <row r="337" spans="2:9" ht="15">
      <c r="B337" s="243"/>
      <c r="C337" s="191"/>
      <c r="D337" s="260">
        <v>28.4</v>
      </c>
      <c r="E337" s="192">
        <v>17.303279279561472</v>
      </c>
      <c r="F337" s="191"/>
      <c r="H337" s="172" t="b">
        <f t="shared" si="10"/>
        <v>0</v>
      </c>
      <c r="I337" s="172">
        <f t="shared" si="11"/>
        <v>0</v>
      </c>
    </row>
    <row r="338" spans="2:9">
      <c r="H338" s="172" t="b">
        <f t="shared" si="10"/>
        <v>0</v>
      </c>
      <c r="I338" s="172">
        <f t="shared" si="11"/>
        <v>0</v>
      </c>
    </row>
    <row r="339" spans="2:9" ht="13.5" thickBot="1">
      <c r="H339" s="172" t="b">
        <f t="shared" si="10"/>
        <v>0</v>
      </c>
      <c r="I339" s="172">
        <f t="shared" si="11"/>
        <v>0</v>
      </c>
    </row>
    <row r="340" spans="2:9" ht="16.5" thickBot="1">
      <c r="B340" s="220" t="s">
        <v>132</v>
      </c>
      <c r="C340" s="323" t="s">
        <v>722</v>
      </c>
      <c r="D340" s="309"/>
      <c r="E340" s="309"/>
      <c r="F340" s="310"/>
      <c r="H340" s="172" t="b">
        <f t="shared" si="10"/>
        <v>1</v>
      </c>
      <c r="I340" s="172">
        <f t="shared" si="11"/>
        <v>0.23470166452623334</v>
      </c>
    </row>
    <row r="341" spans="2:9" ht="13.5" thickBot="1">
      <c r="B341" s="174" t="s">
        <v>319</v>
      </c>
      <c r="C341" s="222" t="s">
        <v>320</v>
      </c>
      <c r="D341" s="223" t="s">
        <v>321</v>
      </c>
      <c r="E341" s="223" t="s">
        <v>322</v>
      </c>
      <c r="F341" s="177" t="s">
        <v>323</v>
      </c>
      <c r="H341" s="172" t="b">
        <f t="shared" si="10"/>
        <v>0</v>
      </c>
      <c r="I341" s="172">
        <f t="shared" si="11"/>
        <v>0</v>
      </c>
    </row>
    <row r="342" spans="2:9" ht="15">
      <c r="B342" s="235" t="s">
        <v>348</v>
      </c>
      <c r="C342" s="251" t="s">
        <v>98</v>
      </c>
      <c r="D342" s="179">
        <v>453</v>
      </c>
      <c r="E342" s="253">
        <v>103.23866452623335</v>
      </c>
      <c r="F342" s="319">
        <v>0.23470166452623334</v>
      </c>
      <c r="H342" s="172" t="b">
        <f t="shared" si="10"/>
        <v>0</v>
      </c>
      <c r="I342" s="172">
        <f t="shared" si="11"/>
        <v>0</v>
      </c>
    </row>
    <row r="343" spans="2:9" ht="15">
      <c r="B343" s="228" t="s">
        <v>336</v>
      </c>
      <c r="C343" s="233" t="s">
        <v>115</v>
      </c>
      <c r="D343" s="183">
        <v>350</v>
      </c>
      <c r="E343" s="255">
        <v>20.125</v>
      </c>
      <c r="F343" s="329"/>
      <c r="H343" s="172" t="b">
        <f t="shared" si="10"/>
        <v>0</v>
      </c>
      <c r="I343" s="172">
        <f t="shared" si="11"/>
        <v>0</v>
      </c>
    </row>
    <row r="344" spans="2:9" ht="15">
      <c r="B344" s="228" t="s">
        <v>338</v>
      </c>
      <c r="C344" s="233" t="s">
        <v>117</v>
      </c>
      <c r="D344" s="183">
        <v>115</v>
      </c>
      <c r="E344" s="255">
        <v>4.0250000000000004</v>
      </c>
      <c r="F344" s="329"/>
      <c r="H344" s="172" t="b">
        <f t="shared" si="10"/>
        <v>0</v>
      </c>
      <c r="I344" s="172">
        <f t="shared" si="11"/>
        <v>0</v>
      </c>
    </row>
    <row r="345" spans="2:9" ht="15">
      <c r="B345" s="228" t="s">
        <v>331</v>
      </c>
      <c r="C345" s="233" t="s">
        <v>279</v>
      </c>
      <c r="D345" s="183">
        <v>50</v>
      </c>
      <c r="E345" s="255">
        <v>4.7249999999999996</v>
      </c>
      <c r="F345" s="329"/>
      <c r="H345" s="172" t="b">
        <f t="shared" si="10"/>
        <v>0</v>
      </c>
      <c r="I345" s="172">
        <f t="shared" si="11"/>
        <v>0</v>
      </c>
    </row>
    <row r="346" spans="2:9" ht="15">
      <c r="B346" s="228" t="s">
        <v>333</v>
      </c>
      <c r="C346" s="233" t="s">
        <v>127</v>
      </c>
      <c r="D346" s="183">
        <v>20</v>
      </c>
      <c r="E346" s="255">
        <v>62.657999999999994</v>
      </c>
      <c r="F346" s="329"/>
      <c r="H346" s="172" t="b">
        <f t="shared" si="10"/>
        <v>0</v>
      </c>
      <c r="I346" s="172">
        <f t="shared" si="11"/>
        <v>0</v>
      </c>
    </row>
    <row r="347" spans="2:9" ht="15">
      <c r="B347" s="228" t="s">
        <v>356</v>
      </c>
      <c r="C347" s="233" t="s">
        <v>253</v>
      </c>
      <c r="D347" s="183">
        <v>5</v>
      </c>
      <c r="E347" s="255">
        <v>15.5</v>
      </c>
      <c r="F347" s="329"/>
      <c r="H347" s="172" t="b">
        <f t="shared" si="10"/>
        <v>0</v>
      </c>
      <c r="I347" s="172">
        <f t="shared" si="11"/>
        <v>0</v>
      </c>
    </row>
    <row r="348" spans="2:9" ht="15.75" thickBot="1">
      <c r="B348" s="230" t="s">
        <v>179</v>
      </c>
      <c r="C348" s="261" t="s">
        <v>180</v>
      </c>
      <c r="D348" s="187">
        <v>7</v>
      </c>
      <c r="E348" s="259">
        <v>24.43</v>
      </c>
      <c r="F348" s="320"/>
      <c r="H348" s="172" t="b">
        <f t="shared" si="10"/>
        <v>0</v>
      </c>
      <c r="I348" s="172">
        <f t="shared" si="11"/>
        <v>0</v>
      </c>
    </row>
    <row r="349" spans="2:9" ht="15">
      <c r="C349" s="191"/>
      <c r="D349" s="191">
        <v>1000</v>
      </c>
      <c r="E349" s="192">
        <v>234.70166452623334</v>
      </c>
      <c r="F349" s="191"/>
      <c r="H349" s="172" t="b">
        <f t="shared" si="10"/>
        <v>0</v>
      </c>
      <c r="I349" s="172">
        <f t="shared" si="11"/>
        <v>0</v>
      </c>
    </row>
    <row r="350" spans="2:9" ht="13.5" thickBot="1">
      <c r="H350" s="172" t="b">
        <f t="shared" si="10"/>
        <v>0</v>
      </c>
      <c r="I350" s="172">
        <f t="shared" si="11"/>
        <v>0</v>
      </c>
    </row>
    <row r="351" spans="2:9" ht="16.5" thickBot="1">
      <c r="B351" s="220" t="s">
        <v>239</v>
      </c>
      <c r="C351" s="330" t="s">
        <v>240</v>
      </c>
      <c r="D351" s="331"/>
      <c r="E351" s="331"/>
      <c r="F351" s="332"/>
      <c r="H351" s="172" t="b">
        <f t="shared" si="10"/>
        <v>1</v>
      </c>
      <c r="I351" s="172">
        <f t="shared" si="11"/>
        <v>3.1328770609715613</v>
      </c>
    </row>
    <row r="352" spans="2:9" ht="13.5" thickBot="1">
      <c r="B352" s="174" t="s">
        <v>319</v>
      </c>
      <c r="C352" s="222" t="s">
        <v>320</v>
      </c>
      <c r="D352" s="223" t="s">
        <v>321</v>
      </c>
      <c r="E352" s="223" t="s">
        <v>322</v>
      </c>
      <c r="F352" s="177" t="s">
        <v>323</v>
      </c>
      <c r="H352" s="172" t="b">
        <f t="shared" si="10"/>
        <v>0</v>
      </c>
      <c r="I352" s="172">
        <f t="shared" si="11"/>
        <v>0</v>
      </c>
    </row>
    <row r="353" spans="2:9" ht="15">
      <c r="B353" s="235" t="s">
        <v>356</v>
      </c>
      <c r="C353" s="251" t="s">
        <v>253</v>
      </c>
      <c r="D353" s="252">
        <v>450</v>
      </c>
      <c r="E353" s="180">
        <v>1395</v>
      </c>
      <c r="F353" s="319">
        <v>3.1328770609715613</v>
      </c>
      <c r="H353" s="172" t="b">
        <f t="shared" si="10"/>
        <v>0</v>
      </c>
      <c r="I353" s="172">
        <f t="shared" si="11"/>
        <v>0</v>
      </c>
    </row>
    <row r="354" spans="2:9" ht="15.75" thickBot="1">
      <c r="B354" s="230" t="s">
        <v>172</v>
      </c>
      <c r="C354" s="234" t="s">
        <v>173</v>
      </c>
      <c r="D354" s="258">
        <v>1.85</v>
      </c>
      <c r="E354" s="188">
        <v>20.590500000000002</v>
      </c>
      <c r="F354" s="328"/>
      <c r="H354" s="172" t="b">
        <f t="shared" si="10"/>
        <v>0</v>
      </c>
      <c r="I354" s="172">
        <f t="shared" si="11"/>
        <v>0</v>
      </c>
    </row>
    <row r="355" spans="2:9" ht="15">
      <c r="B355" s="250"/>
      <c r="C355" s="191"/>
      <c r="D355" s="191">
        <v>451.85</v>
      </c>
      <c r="E355" s="192">
        <v>1415.5905</v>
      </c>
      <c r="F355" s="191"/>
      <c r="H355" s="172" t="b">
        <f t="shared" si="10"/>
        <v>0</v>
      </c>
      <c r="I355" s="172">
        <f t="shared" si="11"/>
        <v>0</v>
      </c>
    </row>
    <row r="356" spans="2:9">
      <c r="B356" s="250"/>
      <c r="H356" s="172" t="b">
        <f t="shared" si="10"/>
        <v>0</v>
      </c>
      <c r="I356" s="172">
        <f t="shared" si="11"/>
        <v>0</v>
      </c>
    </row>
    <row r="357" spans="2:9" ht="13.5" thickBot="1">
      <c r="B357" s="250"/>
      <c r="H357" s="172" t="b">
        <f t="shared" si="10"/>
        <v>0</v>
      </c>
      <c r="I357" s="172">
        <f t="shared" si="11"/>
        <v>0</v>
      </c>
    </row>
    <row r="358" spans="2:9" ht="16.5" thickBot="1">
      <c r="B358" s="220" t="s">
        <v>242</v>
      </c>
      <c r="C358" s="309" t="s">
        <v>243</v>
      </c>
      <c r="D358" s="309"/>
      <c r="E358" s="309"/>
      <c r="F358" s="310"/>
      <c r="H358" s="172" t="b">
        <f t="shared" si="10"/>
        <v>1</v>
      </c>
      <c r="I358" s="172">
        <f t="shared" si="11"/>
        <v>2.8574917167861131</v>
      </c>
    </row>
    <row r="359" spans="2:9" ht="13.5" thickBot="1">
      <c r="B359" s="174" t="s">
        <v>319</v>
      </c>
      <c r="C359" s="222" t="s">
        <v>320</v>
      </c>
      <c r="D359" s="223" t="s">
        <v>321</v>
      </c>
      <c r="E359" s="223" t="s">
        <v>322</v>
      </c>
      <c r="F359" s="177" t="s">
        <v>323</v>
      </c>
      <c r="H359" s="172" t="b">
        <f t="shared" si="10"/>
        <v>0</v>
      </c>
      <c r="I359" s="172">
        <f t="shared" si="11"/>
        <v>0</v>
      </c>
    </row>
    <row r="360" spans="2:9" ht="15">
      <c r="B360" s="235" t="s">
        <v>164</v>
      </c>
      <c r="C360" s="251" t="s">
        <v>358</v>
      </c>
      <c r="D360" s="252">
        <v>25.2</v>
      </c>
      <c r="E360" s="253">
        <v>74.289599999999993</v>
      </c>
      <c r="F360" s="319">
        <v>2.8574917167861131</v>
      </c>
      <c r="H360" s="172" t="b">
        <f t="shared" si="10"/>
        <v>0</v>
      </c>
      <c r="I360" s="172">
        <f t="shared" si="11"/>
        <v>0</v>
      </c>
    </row>
    <row r="361" spans="2:9" ht="15">
      <c r="B361" s="228" t="s">
        <v>177</v>
      </c>
      <c r="C361" s="233" t="s">
        <v>178</v>
      </c>
      <c r="D361" s="254">
        <v>14.7</v>
      </c>
      <c r="E361" s="255">
        <v>5.5124999999999993</v>
      </c>
      <c r="F361" s="329"/>
      <c r="H361" s="172" t="b">
        <f t="shared" si="10"/>
        <v>0</v>
      </c>
      <c r="I361" s="172">
        <f t="shared" si="11"/>
        <v>0</v>
      </c>
    </row>
    <row r="362" spans="2:9" ht="15">
      <c r="B362" s="228" t="s">
        <v>359</v>
      </c>
      <c r="C362" s="233" t="s">
        <v>251</v>
      </c>
      <c r="D362" s="254">
        <v>142.80000000000001</v>
      </c>
      <c r="E362" s="255">
        <v>314.16000000000003</v>
      </c>
      <c r="F362" s="329"/>
      <c r="H362" s="172" t="b">
        <f t="shared" si="10"/>
        <v>0</v>
      </c>
      <c r="I362" s="172">
        <f t="shared" si="11"/>
        <v>0</v>
      </c>
    </row>
    <row r="363" spans="2:9" ht="15">
      <c r="B363" s="228" t="s">
        <v>356</v>
      </c>
      <c r="C363" s="233" t="s">
        <v>253</v>
      </c>
      <c r="D363" s="254">
        <v>21</v>
      </c>
      <c r="E363" s="255">
        <v>65.100000000000009</v>
      </c>
      <c r="F363" s="329"/>
      <c r="H363" s="172" t="b">
        <f t="shared" si="10"/>
        <v>0</v>
      </c>
      <c r="I363" s="172">
        <f t="shared" si="11"/>
        <v>0</v>
      </c>
    </row>
    <row r="364" spans="2:9" ht="15">
      <c r="B364" s="228" t="s">
        <v>360</v>
      </c>
      <c r="C364" s="233" t="s">
        <v>268</v>
      </c>
      <c r="D364" s="254">
        <v>18.100000000000001</v>
      </c>
      <c r="E364" s="255">
        <v>171.95000000000002</v>
      </c>
      <c r="F364" s="329"/>
      <c r="H364" s="172" t="b">
        <f t="shared" si="10"/>
        <v>0</v>
      </c>
      <c r="I364" s="172">
        <f t="shared" si="11"/>
        <v>0</v>
      </c>
    </row>
    <row r="365" spans="2:9" ht="15.75" thickBot="1">
      <c r="B365" s="230" t="s">
        <v>172</v>
      </c>
      <c r="C365" s="234" t="s">
        <v>173</v>
      </c>
      <c r="D365" s="258">
        <v>0.33600000000000002</v>
      </c>
      <c r="E365" s="259">
        <v>3.7396800000000003</v>
      </c>
      <c r="F365" s="320"/>
      <c r="H365" s="172" t="b">
        <f t="shared" si="10"/>
        <v>0</v>
      </c>
      <c r="I365" s="172">
        <f t="shared" si="11"/>
        <v>0</v>
      </c>
    </row>
    <row r="366" spans="2:9" ht="15">
      <c r="B366" s="243"/>
      <c r="C366" s="191"/>
      <c r="D366" s="191">
        <v>222.13600000000002</v>
      </c>
      <c r="E366" s="192">
        <v>634.75178000000005</v>
      </c>
      <c r="F366" s="191"/>
      <c r="H366" s="172" t="b">
        <f t="shared" si="10"/>
        <v>0</v>
      </c>
      <c r="I366" s="172">
        <f t="shared" si="11"/>
        <v>0</v>
      </c>
    </row>
    <row r="367" spans="2:9" ht="15">
      <c r="B367" s="243"/>
      <c r="C367" s="191"/>
      <c r="D367" s="191"/>
      <c r="E367" s="192"/>
      <c r="F367" s="191"/>
      <c r="H367" s="172" t="b">
        <f t="shared" si="10"/>
        <v>0</v>
      </c>
      <c r="I367" s="172">
        <f t="shared" si="11"/>
        <v>0</v>
      </c>
    </row>
    <row r="368" spans="2:9" ht="15.75" thickBot="1">
      <c r="B368" s="243"/>
      <c r="C368" s="191"/>
      <c r="D368" s="191"/>
      <c r="E368" s="192"/>
      <c r="F368" s="191"/>
      <c r="H368" s="172" t="b">
        <f t="shared" si="10"/>
        <v>0</v>
      </c>
      <c r="I368" s="172">
        <f t="shared" si="11"/>
        <v>0</v>
      </c>
    </row>
    <row r="369" spans="2:9" ht="16.5" thickBot="1">
      <c r="B369" s="220" t="s">
        <v>244</v>
      </c>
      <c r="C369" s="330" t="s">
        <v>245</v>
      </c>
      <c r="D369" s="331"/>
      <c r="E369" s="331"/>
      <c r="F369" s="332"/>
      <c r="H369" s="172" t="b">
        <f t="shared" si="10"/>
        <v>1</v>
      </c>
      <c r="I369" s="172">
        <f t="shared" si="11"/>
        <v>2.7209002527707562</v>
      </c>
    </row>
    <row r="370" spans="2:9" ht="13.5" thickBot="1">
      <c r="B370" s="174" t="s">
        <v>319</v>
      </c>
      <c r="C370" s="222" t="s">
        <v>320</v>
      </c>
      <c r="D370" s="223" t="s">
        <v>321</v>
      </c>
      <c r="E370" s="223" t="s">
        <v>322</v>
      </c>
      <c r="F370" s="177" t="s">
        <v>323</v>
      </c>
      <c r="H370" s="172" t="b">
        <f t="shared" si="10"/>
        <v>0</v>
      </c>
      <c r="I370" s="172">
        <f t="shared" si="11"/>
        <v>0</v>
      </c>
    </row>
    <row r="371" spans="2:9" ht="15">
      <c r="B371" s="235" t="s">
        <v>168</v>
      </c>
      <c r="C371" s="251" t="s">
        <v>169</v>
      </c>
      <c r="D371" s="262">
        <v>5.0999999999999996</v>
      </c>
      <c r="E371" s="180">
        <v>13.514999999999999</v>
      </c>
      <c r="F371" s="319">
        <v>2.7209002527707562</v>
      </c>
      <c r="H371" s="172" t="b">
        <f t="shared" si="10"/>
        <v>0</v>
      </c>
      <c r="I371" s="172">
        <f t="shared" si="11"/>
        <v>0</v>
      </c>
    </row>
    <row r="372" spans="2:9" ht="15.75" thickBot="1">
      <c r="B372" s="230" t="s">
        <v>172</v>
      </c>
      <c r="C372" s="234" t="s">
        <v>173</v>
      </c>
      <c r="D372" s="263">
        <v>4.2999999999999997E-2</v>
      </c>
      <c r="E372" s="188">
        <v>0.47859000000000002</v>
      </c>
      <c r="F372" s="328"/>
      <c r="H372" s="172" t="b">
        <f t="shared" si="10"/>
        <v>0</v>
      </c>
      <c r="I372" s="172">
        <f t="shared" si="11"/>
        <v>0</v>
      </c>
    </row>
    <row r="373" spans="2:9" ht="15">
      <c r="B373" s="250"/>
      <c r="C373" s="191"/>
      <c r="D373" s="191">
        <v>5.1429999999999998</v>
      </c>
      <c r="E373" s="192">
        <v>13.993589999999999</v>
      </c>
      <c r="F373" s="191"/>
      <c r="H373" s="172" t="b">
        <f t="shared" si="10"/>
        <v>0</v>
      </c>
      <c r="I373" s="172">
        <f t="shared" si="11"/>
        <v>0</v>
      </c>
    </row>
    <row r="374" spans="2:9">
      <c r="H374" s="172" t="b">
        <f t="shared" si="10"/>
        <v>0</v>
      </c>
      <c r="I374" s="172">
        <f t="shared" si="11"/>
        <v>0</v>
      </c>
    </row>
    <row r="375" spans="2:9" ht="13.5" thickBot="1">
      <c r="H375" s="172" t="b">
        <f t="shared" si="10"/>
        <v>0</v>
      </c>
      <c r="I375" s="172">
        <f t="shared" si="11"/>
        <v>0</v>
      </c>
    </row>
    <row r="376" spans="2:9" ht="16.5" thickBot="1">
      <c r="B376" s="173" t="s">
        <v>246</v>
      </c>
      <c r="C376" s="309" t="s">
        <v>247</v>
      </c>
      <c r="D376" s="309"/>
      <c r="E376" s="309"/>
      <c r="F376" s="310"/>
      <c r="H376" s="172" t="b">
        <f t="shared" si="10"/>
        <v>1</v>
      </c>
      <c r="I376" s="172">
        <f t="shared" si="11"/>
        <v>1.5553549889135256</v>
      </c>
    </row>
    <row r="377" spans="2:9" ht="13.5" thickBot="1">
      <c r="B377" s="174" t="s">
        <v>319</v>
      </c>
      <c r="C377" s="222" t="s">
        <v>320</v>
      </c>
      <c r="D377" s="223" t="s">
        <v>321</v>
      </c>
      <c r="E377" s="223" t="s">
        <v>322</v>
      </c>
      <c r="F377" s="177" t="s">
        <v>323</v>
      </c>
      <c r="H377" s="172" t="b">
        <f t="shared" si="10"/>
        <v>0</v>
      </c>
      <c r="I377" s="172">
        <f t="shared" si="11"/>
        <v>0</v>
      </c>
    </row>
    <row r="378" spans="2:9" ht="15">
      <c r="B378" s="235" t="s">
        <v>356</v>
      </c>
      <c r="C378" s="251" t="s">
        <v>253</v>
      </c>
      <c r="D378" s="262">
        <v>4.0830000000000002</v>
      </c>
      <c r="E378" s="253">
        <v>12.657300000000001</v>
      </c>
      <c r="F378" s="319">
        <v>1.5553549889135256</v>
      </c>
      <c r="H378" s="172" t="b">
        <f t="shared" si="10"/>
        <v>0</v>
      </c>
      <c r="I378" s="172">
        <f t="shared" si="11"/>
        <v>0</v>
      </c>
    </row>
    <row r="379" spans="2:9" ht="15">
      <c r="B379" s="228" t="s">
        <v>172</v>
      </c>
      <c r="C379" s="233" t="s">
        <v>173</v>
      </c>
      <c r="D379" s="264">
        <v>1.7000000000000001E-2</v>
      </c>
      <c r="E379" s="184">
        <v>0.18921000000000002</v>
      </c>
      <c r="F379" s="329"/>
      <c r="H379" s="172" t="b">
        <f t="shared" si="10"/>
        <v>0</v>
      </c>
      <c r="I379" s="172">
        <f t="shared" si="11"/>
        <v>0</v>
      </c>
    </row>
    <row r="380" spans="2:9" ht="15">
      <c r="B380" s="224" t="s">
        <v>351</v>
      </c>
      <c r="C380" s="232" t="s">
        <v>96</v>
      </c>
      <c r="D380" s="265">
        <v>40</v>
      </c>
      <c r="E380" s="266">
        <v>48.8</v>
      </c>
      <c r="F380" s="329"/>
      <c r="H380" s="172" t="b">
        <f t="shared" si="10"/>
        <v>0</v>
      </c>
      <c r="I380" s="172">
        <f t="shared" si="11"/>
        <v>0</v>
      </c>
    </row>
    <row r="381" spans="2:9" ht="15.75" thickBot="1">
      <c r="B381" s="230" t="s">
        <v>181</v>
      </c>
      <c r="C381" s="234" t="s">
        <v>182</v>
      </c>
      <c r="D381" s="263">
        <v>1</v>
      </c>
      <c r="E381" s="259">
        <v>8.5</v>
      </c>
      <c r="F381" s="333"/>
      <c r="H381" s="172" t="b">
        <f t="shared" si="10"/>
        <v>0</v>
      </c>
      <c r="I381" s="172">
        <f t="shared" si="11"/>
        <v>0</v>
      </c>
    </row>
    <row r="382" spans="2:9" ht="15">
      <c r="B382" s="243"/>
      <c r="C382" s="191"/>
      <c r="D382" s="191">
        <v>45.1</v>
      </c>
      <c r="E382" s="192">
        <v>70.146510000000006</v>
      </c>
      <c r="F382" s="191"/>
      <c r="H382" s="172" t="b">
        <f t="shared" si="10"/>
        <v>0</v>
      </c>
      <c r="I382" s="172">
        <f t="shared" si="11"/>
        <v>0</v>
      </c>
    </row>
    <row r="383" spans="2:9">
      <c r="H383" s="172" t="b">
        <f t="shared" si="10"/>
        <v>0</v>
      </c>
      <c r="I383" s="172">
        <f t="shared" si="11"/>
        <v>0</v>
      </c>
    </row>
    <row r="384" spans="2:9" ht="13.5" thickBot="1">
      <c r="H384" s="172" t="b">
        <f t="shared" si="10"/>
        <v>0</v>
      </c>
      <c r="I384" s="172">
        <f t="shared" si="11"/>
        <v>0</v>
      </c>
    </row>
    <row r="385" spans="2:9" ht="16.5" thickBot="1">
      <c r="B385" s="173" t="s">
        <v>248</v>
      </c>
      <c r="C385" s="330" t="s">
        <v>249</v>
      </c>
      <c r="D385" s="331"/>
      <c r="E385" s="331"/>
      <c r="F385" s="332"/>
      <c r="H385" s="172" t="b">
        <f t="shared" si="10"/>
        <v>1</v>
      </c>
      <c r="I385" s="172">
        <f t="shared" si="11"/>
        <v>12.361538461538462</v>
      </c>
    </row>
    <row r="386" spans="2:9" ht="13.5" thickBot="1">
      <c r="B386" s="174" t="s">
        <v>319</v>
      </c>
      <c r="C386" s="222" t="s">
        <v>320</v>
      </c>
      <c r="D386" s="223" t="s">
        <v>321</v>
      </c>
      <c r="E386" s="223" t="s">
        <v>322</v>
      </c>
      <c r="F386" s="177" t="s">
        <v>323</v>
      </c>
      <c r="H386" s="172" t="b">
        <f t="shared" si="10"/>
        <v>0</v>
      </c>
      <c r="I386" s="172">
        <f t="shared" si="11"/>
        <v>0</v>
      </c>
    </row>
    <row r="387" spans="2:9" ht="15">
      <c r="B387" s="235" t="s">
        <v>170</v>
      </c>
      <c r="C387" s="251" t="s">
        <v>171</v>
      </c>
      <c r="D387" s="252">
        <v>1.6</v>
      </c>
      <c r="E387" s="180">
        <v>22.64</v>
      </c>
      <c r="F387" s="319">
        <v>12.361538461538462</v>
      </c>
      <c r="H387" s="172" t="b">
        <f t="shared" si="10"/>
        <v>0</v>
      </c>
      <c r="I387" s="172">
        <f t="shared" si="11"/>
        <v>0</v>
      </c>
    </row>
    <row r="388" spans="2:9" ht="15.75" thickBot="1">
      <c r="B388" s="230" t="s">
        <v>360</v>
      </c>
      <c r="C388" s="234" t="s">
        <v>268</v>
      </c>
      <c r="D388" s="258">
        <v>1</v>
      </c>
      <c r="E388" s="188">
        <v>9.5</v>
      </c>
      <c r="F388" s="328"/>
      <c r="H388" s="172" t="b">
        <f t="shared" ref="H388:H389" si="12">B389="CODE"</f>
        <v>0</v>
      </c>
      <c r="I388" s="172">
        <f t="shared" ref="I388:I389" si="13">IF(H388,F390,0)</f>
        <v>0</v>
      </c>
    </row>
    <row r="389" spans="2:9" ht="15">
      <c r="B389" s="250"/>
      <c r="C389" s="191"/>
      <c r="D389" s="191">
        <v>2.6</v>
      </c>
      <c r="E389" s="192">
        <v>32.14</v>
      </c>
      <c r="F389" s="191"/>
      <c r="H389" s="172" t="b">
        <f t="shared" si="12"/>
        <v>0</v>
      </c>
      <c r="I389" s="172">
        <f t="shared" si="13"/>
        <v>0</v>
      </c>
    </row>
  </sheetData>
  <mergeCells count="68">
    <mergeCell ref="C385:F385"/>
    <mergeCell ref="F387:F388"/>
    <mergeCell ref="C358:F358"/>
    <mergeCell ref="F360:F365"/>
    <mergeCell ref="C369:F369"/>
    <mergeCell ref="F371:F372"/>
    <mergeCell ref="C376:F376"/>
    <mergeCell ref="F378:F381"/>
    <mergeCell ref="F353:F354"/>
    <mergeCell ref="C292:F292"/>
    <mergeCell ref="F294:F299"/>
    <mergeCell ref="C303:F303"/>
    <mergeCell ref="F305:F311"/>
    <mergeCell ref="C315:F315"/>
    <mergeCell ref="F317:F324"/>
    <mergeCell ref="C327:F327"/>
    <mergeCell ref="F329:F336"/>
    <mergeCell ref="C340:F340"/>
    <mergeCell ref="F342:F348"/>
    <mergeCell ref="C351:F351"/>
    <mergeCell ref="F285:F288"/>
    <mergeCell ref="C219:F219"/>
    <mergeCell ref="F221:F228"/>
    <mergeCell ref="C232:F232"/>
    <mergeCell ref="F234:F242"/>
    <mergeCell ref="C245:F245"/>
    <mergeCell ref="F247:F254"/>
    <mergeCell ref="C258:F258"/>
    <mergeCell ref="F260:F266"/>
    <mergeCell ref="C270:F270"/>
    <mergeCell ref="F272:F279"/>
    <mergeCell ref="C283:F283"/>
    <mergeCell ref="F213:F215"/>
    <mergeCell ref="C154:F154"/>
    <mergeCell ref="C162:F162"/>
    <mergeCell ref="C167:F167"/>
    <mergeCell ref="F169:F174"/>
    <mergeCell ref="C178:F178"/>
    <mergeCell ref="F180:F185"/>
    <mergeCell ref="C189:F189"/>
    <mergeCell ref="F191:F195"/>
    <mergeCell ref="C199:F199"/>
    <mergeCell ref="F201:F207"/>
    <mergeCell ref="C211:F211"/>
    <mergeCell ref="F147:F148"/>
    <mergeCell ref="C79:F79"/>
    <mergeCell ref="C84:F84"/>
    <mergeCell ref="C92:F92"/>
    <mergeCell ref="C97:F97"/>
    <mergeCell ref="C105:F105"/>
    <mergeCell ref="F107:F117"/>
    <mergeCell ref="C120:F120"/>
    <mergeCell ref="C125:F125"/>
    <mergeCell ref="F127:F134"/>
    <mergeCell ref="C137:F137"/>
    <mergeCell ref="C145:F145"/>
    <mergeCell ref="C71:F71"/>
    <mergeCell ref="C3:F3"/>
    <mergeCell ref="F5:F14"/>
    <mergeCell ref="C17:F17"/>
    <mergeCell ref="C25:F25"/>
    <mergeCell ref="F27:F35"/>
    <mergeCell ref="C38:F38"/>
    <mergeCell ref="C46:F46"/>
    <mergeCell ref="F48:F50"/>
    <mergeCell ref="C53:F53"/>
    <mergeCell ref="C61:F61"/>
    <mergeCell ref="F63:F68"/>
  </mergeCells>
  <phoneticPr fontId="2" type="noConversion"/>
  <pageMargins left="0.75" right="0.75" top="1" bottom="1" header="0" footer="0"/>
  <pageSetup paperSize="9" scale="85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selection activeCell="AC20" sqref="AC20"/>
    </sheetView>
  </sheetViews>
  <sheetFormatPr defaultRowHeight="14.25"/>
  <cols>
    <col min="2" max="6" width="0" hidden="1" customWidth="1"/>
    <col min="9" max="20" width="0" hidden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770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771</v>
      </c>
      <c r="W1" s="2"/>
      <c r="X1" s="2" t="s">
        <v>772</v>
      </c>
      <c r="Y1" s="2" t="s">
        <v>773</v>
      </c>
      <c r="Z1" s="2" t="s">
        <v>774</v>
      </c>
      <c r="AA1" s="2"/>
      <c r="AB1" s="268" t="s">
        <v>775</v>
      </c>
    </row>
    <row r="2" spans="1:28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62</v>
      </c>
      <c r="G2" s="5">
        <v>5</v>
      </c>
      <c r="H2" s="5" t="s">
        <v>85</v>
      </c>
      <c r="I2" s="5"/>
      <c r="J2" s="5" t="s">
        <v>776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4.8943537999999993</v>
      </c>
      <c r="V2" s="101" t="s">
        <v>43</v>
      </c>
      <c r="W2" s="2"/>
      <c r="X2" s="103" t="s">
        <v>61</v>
      </c>
      <c r="Y2" s="2">
        <v>0.97887075999999995</v>
      </c>
      <c r="Z2" s="2">
        <v>4.8943537999999993</v>
      </c>
      <c r="AA2" s="2"/>
      <c r="AB2" s="267">
        <v>0</v>
      </c>
    </row>
    <row r="3" spans="1:28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v>25</v>
      </c>
      <c r="H3" s="5" t="s">
        <v>85</v>
      </c>
      <c r="I3" s="5"/>
      <c r="J3" s="5" t="s">
        <v>776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24.471768999999998</v>
      </c>
      <c r="V3" s="101" t="s">
        <v>61</v>
      </c>
      <c r="W3" s="2"/>
      <c r="X3" s="103" t="s">
        <v>61</v>
      </c>
      <c r="Y3" s="2">
        <v>0.97887075999999995</v>
      </c>
      <c r="Z3" s="2">
        <v>24.471768999999998</v>
      </c>
      <c r="AA3" s="2"/>
      <c r="AB3" s="267">
        <v>0</v>
      </c>
    </row>
    <row r="4" spans="1:28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62</v>
      </c>
      <c r="G4" s="5">
        <v>200</v>
      </c>
      <c r="H4" s="5" t="s">
        <v>85</v>
      </c>
      <c r="I4" s="5"/>
      <c r="J4" s="5" t="s">
        <v>776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195.77415199999999</v>
      </c>
      <c r="V4" s="101" t="s">
        <v>63</v>
      </c>
      <c r="W4" s="2"/>
      <c r="X4" s="103" t="s">
        <v>61</v>
      </c>
      <c r="Y4" s="2">
        <v>0.97887075999999995</v>
      </c>
      <c r="Z4" s="2">
        <v>195.77415199999999</v>
      </c>
      <c r="AA4" s="2"/>
      <c r="AB4" s="267">
        <v>0</v>
      </c>
    </row>
    <row r="5" spans="1:28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62</v>
      </c>
      <c r="G5" s="5">
        <v>4.3499999999999996</v>
      </c>
      <c r="H5" s="5" t="s">
        <v>85</v>
      </c>
      <c r="I5" s="5"/>
      <c r="J5" s="5" t="s">
        <v>776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5.22</v>
      </c>
      <c r="V5" s="101" t="s">
        <v>104</v>
      </c>
      <c r="W5" s="2"/>
      <c r="X5" s="103" t="s">
        <v>106</v>
      </c>
      <c r="Y5" s="2">
        <v>1.2</v>
      </c>
      <c r="Z5" s="2">
        <v>5.22</v>
      </c>
      <c r="AA5" s="2"/>
      <c r="AB5" s="267">
        <v>0</v>
      </c>
    </row>
    <row r="6" spans="1:28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62</v>
      </c>
      <c r="G6" s="5">
        <v>8.6999999999999993</v>
      </c>
      <c r="H6" s="5" t="s">
        <v>85</v>
      </c>
      <c r="I6" s="5"/>
      <c r="J6" s="5" t="s">
        <v>776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10.44</v>
      </c>
      <c r="V6" s="101" t="s">
        <v>105</v>
      </c>
      <c r="W6" s="2"/>
      <c r="X6" s="103" t="s">
        <v>106</v>
      </c>
      <c r="Y6" s="2">
        <v>1.2</v>
      </c>
      <c r="Z6" s="2">
        <v>10.44</v>
      </c>
      <c r="AA6" s="2"/>
      <c r="AB6" s="267">
        <v>0</v>
      </c>
    </row>
    <row r="7" spans="1:28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v>21.75</v>
      </c>
      <c r="H7" s="5" t="s">
        <v>85</v>
      </c>
      <c r="I7" s="5"/>
      <c r="J7" s="5" t="s">
        <v>776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26.099999999999998</v>
      </c>
      <c r="V7" s="101" t="s">
        <v>106</v>
      </c>
      <c r="W7" s="2"/>
      <c r="X7" s="103" t="s">
        <v>106</v>
      </c>
      <c r="Y7" s="2">
        <v>1.2</v>
      </c>
      <c r="Z7" s="2">
        <v>26.099999999999998</v>
      </c>
      <c r="AA7" s="2"/>
      <c r="AB7" s="267">
        <v>0</v>
      </c>
    </row>
    <row r="8" spans="1:28">
      <c r="A8" s="3" t="s">
        <v>777</v>
      </c>
      <c r="B8" s="3" t="s">
        <v>778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v>1</v>
      </c>
      <c r="H8" s="5" t="s">
        <v>150</v>
      </c>
      <c r="I8" s="5"/>
      <c r="J8" s="5" t="s">
        <v>779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0.61030704225352117</v>
      </c>
      <c r="V8" s="101" t="s">
        <v>777</v>
      </c>
      <c r="W8" s="2"/>
      <c r="X8" s="102" t="s">
        <v>130</v>
      </c>
      <c r="Y8" s="2">
        <v>0.60927039716765752</v>
      </c>
      <c r="Z8" s="2">
        <v>0.60927039716765752</v>
      </c>
      <c r="AA8" s="2"/>
      <c r="AB8" s="267">
        <v>1.0366450858636522E-3</v>
      </c>
    </row>
    <row r="9" spans="1:28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v>28.4</v>
      </c>
      <c r="H9" s="5" t="s">
        <v>85</v>
      </c>
      <c r="I9" s="5"/>
      <c r="J9" s="5" t="s">
        <v>779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17.332720000000002</v>
      </c>
      <c r="V9" s="101" t="s">
        <v>130</v>
      </c>
      <c r="W9" s="2"/>
      <c r="X9" s="103" t="s">
        <v>130</v>
      </c>
      <c r="Y9" s="2">
        <v>0.60927039716765752</v>
      </c>
      <c r="Z9" s="2">
        <v>17.303279279561472</v>
      </c>
      <c r="AA9" s="2"/>
      <c r="AB9" s="267">
        <v>2.9440720438529411E-2</v>
      </c>
    </row>
    <row r="10" spans="1:28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v>25</v>
      </c>
      <c r="H10" s="5" t="s">
        <v>85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4.5657559880239518</v>
      </c>
      <c r="V10" s="101" t="s">
        <v>132</v>
      </c>
      <c r="W10" s="2"/>
      <c r="X10" s="102" t="s">
        <v>132</v>
      </c>
      <c r="Y10" s="2">
        <v>0.23470166452623334</v>
      </c>
      <c r="Z10" s="2">
        <v>5.8675416131558338</v>
      </c>
      <c r="AA10" s="2"/>
      <c r="AB10" s="267">
        <v>-1.301785625131882</v>
      </c>
    </row>
    <row r="11" spans="1:28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v>1</v>
      </c>
      <c r="H11" s="5" t="s">
        <v>150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0.18263023952095808</v>
      </c>
      <c r="V11" s="101" t="s">
        <v>503</v>
      </c>
      <c r="W11" s="2"/>
      <c r="X11" s="103" t="s">
        <v>132</v>
      </c>
      <c r="Y11" s="2">
        <v>0.23470166452623334</v>
      </c>
      <c r="Z11" s="2">
        <v>0.23470166452623334</v>
      </c>
      <c r="AA11" s="2"/>
      <c r="AB11" s="267">
        <v>-5.2071425005275257E-2</v>
      </c>
    </row>
    <row r="12" spans="1:28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v>25</v>
      </c>
      <c r="H12" s="5" t="s">
        <v>85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1.7312323148474043</v>
      </c>
      <c r="V12" s="101" t="s">
        <v>149</v>
      </c>
      <c r="W12" s="2"/>
      <c r="X12" s="102" t="s">
        <v>149</v>
      </c>
      <c r="Y12" s="2">
        <v>7.2178950483330034E-2</v>
      </c>
      <c r="Z12" s="2">
        <v>1.8044737620832509</v>
      </c>
      <c r="AA12" s="2"/>
      <c r="AB12" s="267">
        <v>-7.3241447235846691E-2</v>
      </c>
    </row>
    <row r="13" spans="1:28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v>1</v>
      </c>
      <c r="H13" s="5" t="s">
        <v>150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6.9249292593896172E-2</v>
      </c>
      <c r="V13" s="101" t="s">
        <v>501</v>
      </c>
      <c r="W13" s="2"/>
      <c r="X13" s="103" t="s">
        <v>149</v>
      </c>
      <c r="Y13" s="2">
        <v>7.2178950483330034E-2</v>
      </c>
      <c r="Z13" s="2">
        <v>7.2178950483330034E-2</v>
      </c>
      <c r="AA13" s="2"/>
      <c r="AB13" s="267">
        <v>-2.9296578894338621E-3</v>
      </c>
    </row>
    <row r="14" spans="1:28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v>25</v>
      </c>
      <c r="H14" s="5" t="s">
        <v>85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3.0332741634273312</v>
      </c>
      <c r="V14" s="101" t="s">
        <v>151</v>
      </c>
      <c r="W14" s="2"/>
      <c r="X14" s="102" t="s">
        <v>151</v>
      </c>
      <c r="Y14" s="2">
        <v>0.12414857792946528</v>
      </c>
      <c r="Z14" s="2">
        <v>3.1037144482366319</v>
      </c>
      <c r="AA14" s="2"/>
      <c r="AB14" s="267">
        <v>-7.0440284809300646E-2</v>
      </c>
    </row>
    <row r="15" spans="1:28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v>1</v>
      </c>
      <c r="H15" s="5" t="s">
        <v>150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0.12133096653709324</v>
      </c>
      <c r="V15" s="101" t="s">
        <v>504</v>
      </c>
      <c r="W15" s="2"/>
      <c r="X15" s="103" t="s">
        <v>151</v>
      </c>
      <c r="Y15" s="2">
        <v>0.12414857792946528</v>
      </c>
      <c r="Z15" s="2">
        <v>0.12414857792946528</v>
      </c>
      <c r="AA15" s="2"/>
      <c r="AB15" s="267">
        <v>-2.8176113923720353E-3</v>
      </c>
    </row>
    <row r="16" spans="1:28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v>25</v>
      </c>
      <c r="H16" s="5" t="s">
        <v>85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1.8698556032591327</v>
      </c>
      <c r="V16" s="101" t="s">
        <v>152</v>
      </c>
      <c r="W16" s="2"/>
      <c r="X16" s="102" t="s">
        <v>152</v>
      </c>
      <c r="Y16" s="2">
        <v>7.6727667186124809E-2</v>
      </c>
      <c r="Z16" s="2">
        <v>1.9181916796531202</v>
      </c>
      <c r="AA16" s="2"/>
      <c r="AB16" s="267">
        <v>-4.8336076393987515E-2</v>
      </c>
    </row>
    <row r="17" spans="1:28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v>1</v>
      </c>
      <c r="H17" s="5" t="s">
        <v>150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7.4794224130365308E-2</v>
      </c>
      <c r="V17" s="101" t="s">
        <v>505</v>
      </c>
      <c r="W17" s="2"/>
      <c r="X17" s="103" t="s">
        <v>152</v>
      </c>
      <c r="Y17" s="2">
        <v>7.6727667186124809E-2</v>
      </c>
      <c r="Z17" s="2">
        <v>7.6727667186124809E-2</v>
      </c>
      <c r="AA17" s="2"/>
      <c r="AB17" s="267">
        <v>-1.9334430557595012E-3</v>
      </c>
    </row>
    <row r="18" spans="1:28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v>25</v>
      </c>
      <c r="H18" s="5" t="s">
        <v>85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3.0422849058381973</v>
      </c>
      <c r="V18" s="101" t="s">
        <v>153</v>
      </c>
      <c r="W18" s="2"/>
      <c r="X18" s="102" t="s">
        <v>153</v>
      </c>
      <c r="Y18" s="2">
        <v>0.16454701569214297</v>
      </c>
      <c r="Z18" s="2">
        <v>4.1136753923035743</v>
      </c>
      <c r="AA18" s="2"/>
      <c r="AB18" s="267">
        <v>-1.0713904864653769</v>
      </c>
    </row>
    <row r="19" spans="1:28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v>1</v>
      </c>
      <c r="H19" s="5" t="s">
        <v>150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0.1216913962335279</v>
      </c>
      <c r="V19" s="101" t="s">
        <v>506</v>
      </c>
      <c r="W19" s="2"/>
      <c r="X19" s="103" t="s">
        <v>153</v>
      </c>
      <c r="Y19" s="2">
        <v>0.16454701569214297</v>
      </c>
      <c r="Z19" s="2">
        <v>0.16454701569214297</v>
      </c>
      <c r="AA19" s="2"/>
      <c r="AB19" s="267">
        <v>-4.2855619458615074E-2</v>
      </c>
    </row>
    <row r="20" spans="1:28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v>25</v>
      </c>
      <c r="H20" s="5" t="s">
        <v>85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1.5552160024929218</v>
      </c>
      <c r="V20" s="101" t="s">
        <v>154</v>
      </c>
      <c r="W20" s="2"/>
      <c r="X20" s="102" t="s">
        <v>154</v>
      </c>
      <c r="Y20" s="2">
        <v>6.4509084849061996E-2</v>
      </c>
      <c r="Z20" s="2">
        <v>1.6127271212265499</v>
      </c>
      <c r="AA20" s="2"/>
      <c r="AB20" s="267">
        <v>-5.751111873362813E-2</v>
      </c>
    </row>
    <row r="21" spans="1:28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v>1</v>
      </c>
      <c r="H21" s="5" t="s">
        <v>150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6.2208640099716876E-2</v>
      </c>
      <c r="V21" s="101" t="s">
        <v>507</v>
      </c>
      <c r="W21" s="2"/>
      <c r="X21" s="103" t="s">
        <v>154</v>
      </c>
      <c r="Y21" s="2">
        <v>6.4509084849061996E-2</v>
      </c>
      <c r="Z21" s="2">
        <v>6.4509084849061996E-2</v>
      </c>
      <c r="AA21" s="2"/>
      <c r="AB21" s="267">
        <v>-2.3004447493451194E-3</v>
      </c>
    </row>
    <row r="22" spans="1:28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v>25</v>
      </c>
      <c r="H22" s="5" t="s">
        <v>85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1.7312323148474043</v>
      </c>
      <c r="V22" s="101" t="s">
        <v>155</v>
      </c>
      <c r="W22" s="2"/>
      <c r="X22" s="102" t="s">
        <v>155</v>
      </c>
      <c r="Y22" s="2">
        <v>7.2178950483330034E-2</v>
      </c>
      <c r="Z22" s="2">
        <v>1.8044737620832509</v>
      </c>
      <c r="AA22" s="2"/>
      <c r="AB22" s="267">
        <v>-7.3241447235846691E-2</v>
      </c>
    </row>
    <row r="23" spans="1:28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v>1</v>
      </c>
      <c r="H23" s="5" t="s">
        <v>150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6.9249292593896172E-2</v>
      </c>
      <c r="V23" s="101" t="s">
        <v>508</v>
      </c>
      <c r="W23" s="2"/>
      <c r="X23" s="103" t="s">
        <v>155</v>
      </c>
      <c r="Y23" s="2">
        <v>7.2178950483330034E-2</v>
      </c>
      <c r="Z23" s="2">
        <v>7.2178950483330034E-2</v>
      </c>
      <c r="AA23" s="2"/>
      <c r="AB23" s="267">
        <v>-2.9296578894338621E-3</v>
      </c>
    </row>
    <row r="24" spans="1:28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v>25</v>
      </c>
      <c r="H24" s="5" t="s">
        <v>85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2.200878202215713</v>
      </c>
      <c r="V24" s="101" t="s">
        <v>156</v>
      </c>
      <c r="W24" s="2"/>
      <c r="X24" s="102" t="s">
        <v>156</v>
      </c>
      <c r="Y24" s="2">
        <v>8.9863095116829883E-2</v>
      </c>
      <c r="Z24" s="2">
        <v>2.246577377920747</v>
      </c>
      <c r="AA24" s="2"/>
      <c r="AB24" s="267">
        <v>-4.5699175705034012E-2</v>
      </c>
    </row>
    <row r="25" spans="1:28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v>1</v>
      </c>
      <c r="H25" s="5" t="s">
        <v>150</v>
      </c>
      <c r="I25" s="5"/>
      <c r="J25" s="5" t="s">
        <v>776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8.8035128088628525E-2</v>
      </c>
      <c r="V25" s="101" t="s">
        <v>509</v>
      </c>
      <c r="W25" s="2"/>
      <c r="X25" s="103" t="s">
        <v>156</v>
      </c>
      <c r="Y25" s="2">
        <v>8.9863095116829883E-2</v>
      </c>
      <c r="Z25" s="2">
        <v>8.9863095116829883E-2</v>
      </c>
      <c r="AA25" s="2"/>
      <c r="AB25" s="267">
        <v>-1.8279670282013577E-3</v>
      </c>
    </row>
    <row r="26" spans="1:28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v>25</v>
      </c>
      <c r="H26" s="5" t="s">
        <v>85</v>
      </c>
      <c r="I26" s="5"/>
      <c r="J26" s="5" t="s">
        <v>779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2.8402122272371129</v>
      </c>
      <c r="V26" s="101" t="s">
        <v>157</v>
      </c>
      <c r="W26" s="2"/>
      <c r="X26" s="102" t="s">
        <v>157</v>
      </c>
      <c r="Y26" s="2">
        <v>0.11936911548241508</v>
      </c>
      <c r="Z26" s="2">
        <v>2.9842278870603769</v>
      </c>
      <c r="AA26" s="2"/>
      <c r="AB26" s="267">
        <v>-0.14401565982326403</v>
      </c>
    </row>
    <row r="27" spans="1:28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v>1</v>
      </c>
      <c r="H27" s="5" t="s">
        <v>150</v>
      </c>
      <c r="I27" s="5"/>
      <c r="J27" s="5" t="s">
        <v>779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0.11360848908948451</v>
      </c>
      <c r="V27" s="101" t="s">
        <v>510</v>
      </c>
      <c r="W27" s="2"/>
      <c r="X27" s="103" t="s">
        <v>157</v>
      </c>
      <c r="Y27" s="2">
        <v>0.11936911548241508</v>
      </c>
      <c r="Z27" s="2">
        <v>0.11936911548241508</v>
      </c>
      <c r="AA27" s="2"/>
      <c r="AB27" s="267">
        <v>-5.7606263929305679E-3</v>
      </c>
    </row>
    <row r="28" spans="1:28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v>25</v>
      </c>
      <c r="H28" s="5" t="s">
        <v>85</v>
      </c>
      <c r="I28" s="5"/>
      <c r="J28" s="5" t="s">
        <v>779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2.2989015583253289</v>
      </c>
      <c r="V28" s="101" t="s">
        <v>158</v>
      </c>
      <c r="W28" s="2"/>
      <c r="X28" s="102" t="s">
        <v>158</v>
      </c>
      <c r="Y28" s="2">
        <v>9.3666751306851717E-2</v>
      </c>
      <c r="Z28" s="2">
        <v>2.341668782671293</v>
      </c>
      <c r="AA28" s="2"/>
      <c r="AB28" s="267">
        <v>-4.2767224345964028E-2</v>
      </c>
    </row>
    <row r="29" spans="1:28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v>1</v>
      </c>
      <c r="H29" s="5" t="s">
        <v>150</v>
      </c>
      <c r="I29" s="5"/>
      <c r="J29" s="5" t="s">
        <v>779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9.1956062333013164E-2</v>
      </c>
      <c r="V29" s="101" t="s">
        <v>511</v>
      </c>
      <c r="W29" s="2"/>
      <c r="X29" s="103" t="s">
        <v>158</v>
      </c>
      <c r="Y29" s="2">
        <v>9.3666751306851717E-2</v>
      </c>
      <c r="Z29" s="2">
        <v>9.3666751306851717E-2</v>
      </c>
      <c r="AA29" s="2"/>
      <c r="AB29" s="267">
        <v>-1.7106889738385533E-3</v>
      </c>
    </row>
    <row r="30" spans="1:28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v>25</v>
      </c>
      <c r="H30" s="5" t="s">
        <v>85</v>
      </c>
      <c r="I30" s="5"/>
      <c r="J30" s="5" t="s">
        <v>779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3.9148052305872101</v>
      </c>
      <c r="V30" s="101" t="s">
        <v>159</v>
      </c>
      <c r="W30" s="2"/>
      <c r="X30" s="102" t="s">
        <v>159</v>
      </c>
      <c r="Y30" s="2">
        <v>0.14847073346712203</v>
      </c>
      <c r="Z30" s="2">
        <v>3.711768336678051</v>
      </c>
      <c r="AA30" s="2"/>
      <c r="AB30" s="267">
        <v>0.20303689390915913</v>
      </c>
    </row>
    <row r="31" spans="1:28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v>1</v>
      </c>
      <c r="H31" s="5" t="s">
        <v>150</v>
      </c>
      <c r="I31" s="5"/>
      <c r="J31" s="5" t="s">
        <v>779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0.1565922092234884</v>
      </c>
      <c r="V31" s="101" t="s">
        <v>512</v>
      </c>
      <c r="W31" s="2"/>
      <c r="X31" s="103" t="s">
        <v>159</v>
      </c>
      <c r="Y31" s="2">
        <v>0.14847073346712203</v>
      </c>
      <c r="Z31" s="2">
        <v>0.14847073346712203</v>
      </c>
      <c r="AA31" s="2"/>
      <c r="AB31" s="267">
        <v>8.1214757563663753E-3</v>
      </c>
    </row>
    <row r="32" spans="1:28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v>25</v>
      </c>
      <c r="H32" s="5" t="s">
        <v>85</v>
      </c>
      <c r="I32" s="5"/>
      <c r="J32" s="5" t="s">
        <v>779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3.590898388149562</v>
      </c>
      <c r="V32" s="101" t="s">
        <v>160</v>
      </c>
      <c r="W32" s="2"/>
      <c r="X32" s="102" t="s">
        <v>160</v>
      </c>
      <c r="Y32" s="2">
        <v>0.14640111648678825</v>
      </c>
      <c r="Z32" s="2">
        <v>3.6600279121697064</v>
      </c>
      <c r="AA32" s="2"/>
      <c r="AB32" s="267">
        <v>-6.9129524020144384E-2</v>
      </c>
    </row>
    <row r="33" spans="1:28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v>1</v>
      </c>
      <c r="H33" s="5" t="s">
        <v>150</v>
      </c>
      <c r="I33" s="5"/>
      <c r="J33" s="5" t="s">
        <v>779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0.14363593552598247</v>
      </c>
      <c r="V33" s="101" t="s">
        <v>513</v>
      </c>
      <c r="W33" s="2"/>
      <c r="X33" s="103" t="s">
        <v>160</v>
      </c>
      <c r="Y33" s="2">
        <v>0.14640111648678825</v>
      </c>
      <c r="Z33" s="2">
        <v>0.14640111648678825</v>
      </c>
      <c r="AA33" s="2"/>
      <c r="AB33" s="267">
        <v>-2.7651809608057742E-3</v>
      </c>
    </row>
    <row r="34" spans="1:28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v>25</v>
      </c>
      <c r="H34" s="5" t="s">
        <v>85</v>
      </c>
      <c r="I34" s="5"/>
      <c r="J34" s="5" t="s">
        <v>779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5.1743476882916424</v>
      </c>
      <c r="V34" s="101" t="s">
        <v>161</v>
      </c>
      <c r="W34" s="2"/>
      <c r="X34" s="102" t="s">
        <v>161</v>
      </c>
      <c r="Y34" s="2">
        <v>0.20967623204218949</v>
      </c>
      <c r="Z34" s="2">
        <v>5.2419058010547372</v>
      </c>
      <c r="AA34" s="2"/>
      <c r="AB34" s="267">
        <v>-6.7558112763094869E-2</v>
      </c>
    </row>
    <row r="35" spans="1:28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v>1</v>
      </c>
      <c r="H35" s="5" t="s">
        <v>150</v>
      </c>
      <c r="I35" s="5"/>
      <c r="J35" s="5" t="s">
        <v>779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0.2069739075316657</v>
      </c>
      <c r="V35" s="101" t="s">
        <v>514</v>
      </c>
      <c r="W35" s="2"/>
      <c r="X35" s="103" t="s">
        <v>161</v>
      </c>
      <c r="Y35" s="2">
        <v>0.20967623204218949</v>
      </c>
      <c r="Z35" s="2">
        <v>0.20967623204218949</v>
      </c>
      <c r="AA35" s="2"/>
      <c r="AB35" s="267">
        <v>-2.7023245105237959E-3</v>
      </c>
    </row>
    <row r="36" spans="1:28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v>25</v>
      </c>
      <c r="H36" s="5" t="s">
        <v>85</v>
      </c>
      <c r="I36" s="5"/>
      <c r="J36" s="5" t="s">
        <v>779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12.873897353648758</v>
      </c>
      <c r="V36" s="101" t="s">
        <v>162</v>
      </c>
      <c r="W36" s="2"/>
      <c r="X36" s="102" t="s">
        <v>162</v>
      </c>
      <c r="Y36" s="2">
        <v>0.57634249051437958</v>
      </c>
      <c r="Z36" s="2">
        <v>14.408562262859489</v>
      </c>
      <c r="AA36" s="2"/>
      <c r="AB36" s="267">
        <v>-1.534664909210731</v>
      </c>
    </row>
    <row r="37" spans="1:28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v>1</v>
      </c>
      <c r="H37" s="5" t="s">
        <v>150</v>
      </c>
      <c r="I37" s="5"/>
      <c r="J37" s="5" t="s">
        <v>779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0.51495589414595033</v>
      </c>
      <c r="V37" s="101" t="s">
        <v>515</v>
      </c>
      <c r="W37" s="2"/>
      <c r="X37" s="103" t="s">
        <v>162</v>
      </c>
      <c r="Y37" s="2">
        <v>0.57634249051437958</v>
      </c>
      <c r="Z37" s="2">
        <v>0.57634249051437958</v>
      </c>
      <c r="AA37" s="2"/>
      <c r="AB37" s="267">
        <v>-6.1386596368429247E-2</v>
      </c>
    </row>
    <row r="38" spans="1:28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v>20</v>
      </c>
      <c r="H38" s="5" t="s">
        <v>85</v>
      </c>
      <c r="I38" s="5"/>
      <c r="J38" s="5" t="s">
        <v>779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2.6229994701360515</v>
      </c>
      <c r="V38" s="101" t="s">
        <v>163</v>
      </c>
      <c r="W38" s="2"/>
      <c r="X38" s="102" t="s">
        <v>163</v>
      </c>
      <c r="Y38" s="2">
        <v>0.11049139613781302</v>
      </c>
      <c r="Z38" s="2">
        <v>2.2098279227562605</v>
      </c>
      <c r="AA38" s="2"/>
      <c r="AB38" s="267">
        <v>0.413171547379791</v>
      </c>
    </row>
    <row r="39" spans="1:28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v>1</v>
      </c>
      <c r="H39" s="5" t="s">
        <v>150</v>
      </c>
      <c r="I39" s="5"/>
      <c r="J39" s="5" t="s">
        <v>779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0.10491997880544206</v>
      </c>
      <c r="V39" s="101" t="s">
        <v>516</v>
      </c>
      <c r="W39" s="2"/>
      <c r="X39" s="103" t="s">
        <v>163</v>
      </c>
      <c r="Y39" s="2">
        <v>0.11049139613781302</v>
      </c>
      <c r="Z39" s="2">
        <v>0.11049139613781302</v>
      </c>
      <c r="AA39" s="2"/>
      <c r="AB39" s="267">
        <v>-5.5714173323709593E-3</v>
      </c>
    </row>
    <row r="40" spans="1:28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v>25</v>
      </c>
      <c r="H40" s="5" t="s">
        <v>85</v>
      </c>
      <c r="I40" s="5"/>
      <c r="J40" s="5" t="s">
        <v>779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35.75</v>
      </c>
      <c r="V40" s="101" t="s">
        <v>196</v>
      </c>
      <c r="W40" s="2"/>
      <c r="X40" s="102" t="s">
        <v>196</v>
      </c>
      <c r="Y40" s="2">
        <v>1.43</v>
      </c>
      <c r="Z40" s="2">
        <v>35.75</v>
      </c>
      <c r="AA40" s="2"/>
      <c r="AB40" s="267">
        <v>0</v>
      </c>
    </row>
    <row r="41" spans="1:28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v>2</v>
      </c>
      <c r="H41" s="5" t="s">
        <v>85</v>
      </c>
      <c r="I41" s="5"/>
      <c r="J41" s="5" t="s">
        <v>779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2.26498</v>
      </c>
      <c r="V41" s="101" t="s">
        <v>205</v>
      </c>
      <c r="W41" s="2"/>
      <c r="X41" s="103" t="s">
        <v>205</v>
      </c>
      <c r="Y41" s="2">
        <v>1.1319240379810096</v>
      </c>
      <c r="Z41" s="2">
        <v>2.2638480759620192</v>
      </c>
      <c r="AA41" s="2"/>
      <c r="AB41" s="267">
        <v>1.1319240379807916E-3</v>
      </c>
    </row>
    <row r="42" spans="1:28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v>7</v>
      </c>
      <c r="H42" s="5" t="s">
        <v>85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7.9234682658670668</v>
      </c>
      <c r="V42" s="101" t="s">
        <v>206</v>
      </c>
      <c r="W42" s="2"/>
      <c r="X42" s="103" t="s">
        <v>205</v>
      </c>
      <c r="Y42" s="2">
        <v>1.1319240379810096</v>
      </c>
      <c r="Z42" s="2">
        <v>7.9234682658670668</v>
      </c>
      <c r="AA42" s="2"/>
      <c r="AB42" s="267">
        <v>0</v>
      </c>
    </row>
    <row r="43" spans="1:28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v>14</v>
      </c>
      <c r="H43" s="5" t="s">
        <v>85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v>15.846936531734134</v>
      </c>
      <c r="V43" s="101" t="s">
        <v>207</v>
      </c>
      <c r="W43" s="2"/>
      <c r="X43" s="103" t="s">
        <v>205</v>
      </c>
      <c r="Y43" s="2">
        <v>1.1319240379810096</v>
      </c>
      <c r="Z43" s="2">
        <v>15.846936531734134</v>
      </c>
      <c r="AA43" s="2"/>
      <c r="AB43" s="267">
        <v>0</v>
      </c>
    </row>
    <row r="44" spans="1:28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v>2</v>
      </c>
      <c r="H44" s="5" t="s">
        <v>85</v>
      </c>
      <c r="I44" s="5"/>
      <c r="J44" s="5" t="s">
        <v>779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v>5.2958610863757798</v>
      </c>
      <c r="V44" s="101" t="s">
        <v>208</v>
      </c>
      <c r="W44" s="2"/>
      <c r="X44" s="102" t="s">
        <v>208</v>
      </c>
      <c r="Y44" s="2">
        <v>3.1254630454140697</v>
      </c>
      <c r="Z44" s="2">
        <v>6.2509260908281394</v>
      </c>
      <c r="AA44" s="2"/>
      <c r="AB44" s="267">
        <v>-0.95506500445235964</v>
      </c>
    </row>
    <row r="45" spans="1:28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v>5</v>
      </c>
      <c r="H45" s="5" t="s">
        <v>85</v>
      </c>
      <c r="I45" s="5"/>
      <c r="J45" s="5" t="s">
        <v>150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v>13.239652715939449</v>
      </c>
      <c r="V45" s="101" t="s">
        <v>209</v>
      </c>
      <c r="W45" s="2"/>
      <c r="X45" s="102" t="s">
        <v>208</v>
      </c>
      <c r="Y45" s="2">
        <v>3.1254630454140697</v>
      </c>
      <c r="Z45" s="2">
        <v>15.627315227070348</v>
      </c>
      <c r="AA45" s="2"/>
      <c r="AB45" s="267">
        <v>-2.3876625111308982</v>
      </c>
    </row>
    <row r="46" spans="1:28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v>2</v>
      </c>
      <c r="H46" s="5" t="s">
        <v>85</v>
      </c>
      <c r="I46" s="5"/>
      <c r="J46" s="5" t="s">
        <v>150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v>17.54</v>
      </c>
      <c r="V46" s="101" t="s">
        <v>210</v>
      </c>
      <c r="W46" s="2"/>
      <c r="X46" s="102" t="s">
        <v>210</v>
      </c>
      <c r="Y46" s="2">
        <v>8.18</v>
      </c>
      <c r="Z46" s="2">
        <v>16.36</v>
      </c>
      <c r="AA46" s="2"/>
      <c r="AB46" s="267">
        <v>1.1799999999999997</v>
      </c>
    </row>
    <row r="47" spans="1:28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v>5</v>
      </c>
      <c r="H47" s="5" t="s">
        <v>85</v>
      </c>
      <c r="I47" s="5"/>
      <c r="J47" s="5" t="s">
        <v>150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v>40.9</v>
      </c>
      <c r="V47" s="101" t="s">
        <v>211</v>
      </c>
      <c r="W47" s="2"/>
      <c r="X47" s="102" t="s">
        <v>210</v>
      </c>
      <c r="Y47" s="2">
        <v>8.18</v>
      </c>
      <c r="Z47" s="2">
        <v>40.9</v>
      </c>
      <c r="AA47" s="2"/>
      <c r="AB47" s="267">
        <v>0</v>
      </c>
    </row>
    <row r="48" spans="1:28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v>1</v>
      </c>
      <c r="H48" s="5" t="s">
        <v>85</v>
      </c>
      <c r="I48" s="5"/>
      <c r="J48" s="5" t="s">
        <v>150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v>8.5399999999999991</v>
      </c>
      <c r="V48" s="101" t="s">
        <v>212</v>
      </c>
      <c r="W48" s="2"/>
      <c r="X48" s="102" t="s">
        <v>210</v>
      </c>
      <c r="Y48" s="2">
        <v>8.18</v>
      </c>
      <c r="Z48" s="2">
        <v>8.18</v>
      </c>
      <c r="AA48" s="2"/>
      <c r="AB48" s="267">
        <v>0.35999999999999943</v>
      </c>
    </row>
    <row r="49" spans="1:28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v>2</v>
      </c>
      <c r="H49" s="5" t="s">
        <v>85</v>
      </c>
      <c r="I49" s="5"/>
      <c r="J49" s="5" t="s">
        <v>150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v>8.2716000000000012</v>
      </c>
      <c r="V49" s="101" t="s">
        <v>213</v>
      </c>
      <c r="W49" s="2"/>
      <c r="X49" s="102" t="s">
        <v>214</v>
      </c>
      <c r="Y49" s="2">
        <v>4.1358000000000006</v>
      </c>
      <c r="Z49" s="2">
        <v>8.2716000000000012</v>
      </c>
      <c r="AA49" s="2"/>
      <c r="AB49" s="267">
        <v>0</v>
      </c>
    </row>
    <row r="50" spans="1:28">
      <c r="A50" s="3" t="s">
        <v>214</v>
      </c>
      <c r="B50" s="3" t="s">
        <v>561</v>
      </c>
      <c r="C50" s="132"/>
      <c r="D50" s="132"/>
      <c r="E50" s="132"/>
      <c r="F50" s="132"/>
      <c r="G50" s="5">
        <v>5</v>
      </c>
      <c r="H50" s="5" t="s">
        <v>85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v>20.679000000000002</v>
      </c>
      <c r="V50" s="101" t="s">
        <v>214</v>
      </c>
      <c r="X50" s="102" t="s">
        <v>214</v>
      </c>
      <c r="Y50" s="2">
        <v>4.1358000000000006</v>
      </c>
      <c r="Z50" s="2">
        <v>20.679000000000002</v>
      </c>
      <c r="AB50" s="267">
        <v>0</v>
      </c>
    </row>
    <row r="51" spans="1:28">
      <c r="A51" s="3" t="s">
        <v>215</v>
      </c>
      <c r="B51" s="3" t="s">
        <v>562</v>
      </c>
      <c r="C51" s="132"/>
      <c r="D51" s="132"/>
      <c r="E51" s="132"/>
      <c r="F51" s="132"/>
      <c r="G51" s="5">
        <v>10</v>
      </c>
      <c r="H51" s="5" t="s">
        <v>85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v>41.358000000000004</v>
      </c>
      <c r="V51" s="101" t="s">
        <v>215</v>
      </c>
      <c r="X51" s="102" t="s">
        <v>214</v>
      </c>
      <c r="Y51" s="2">
        <v>4.1358000000000006</v>
      </c>
      <c r="Z51" s="2">
        <v>41.358000000000004</v>
      </c>
      <c r="AB51" s="267">
        <v>0</v>
      </c>
    </row>
    <row r="52" spans="1:28">
      <c r="A52" s="3" t="s">
        <v>216</v>
      </c>
      <c r="B52" s="3" t="s">
        <v>563</v>
      </c>
      <c r="C52" s="132"/>
      <c r="D52" s="132"/>
      <c r="E52" s="132"/>
      <c r="F52" s="132"/>
      <c r="G52" s="5">
        <v>2</v>
      </c>
      <c r="H52" s="5" t="s">
        <v>85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v>5.2966257459505535</v>
      </c>
      <c r="V52" s="101" t="s">
        <v>216</v>
      </c>
      <c r="X52" s="102" t="s">
        <v>216</v>
      </c>
      <c r="Y52" s="2">
        <v>2.6477450980392159</v>
      </c>
      <c r="Z52" s="2">
        <v>5.2954901960784317</v>
      </c>
      <c r="AB52" s="267">
        <v>1.1355498721217216E-3</v>
      </c>
    </row>
    <row r="53" spans="1:28">
      <c r="A53" s="3" t="s">
        <v>217</v>
      </c>
      <c r="B53" s="3" t="s">
        <v>564</v>
      </c>
      <c r="C53" s="132"/>
      <c r="D53" s="132"/>
      <c r="E53" s="132"/>
      <c r="F53" s="132"/>
      <c r="G53" s="5">
        <v>5</v>
      </c>
      <c r="H53" s="5" t="s">
        <v>85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v>13.241564364876384</v>
      </c>
      <c r="V53" s="101" t="s">
        <v>217</v>
      </c>
      <c r="X53" s="102" t="s">
        <v>216</v>
      </c>
      <c r="Y53" s="2">
        <v>2.6477450980392159</v>
      </c>
      <c r="Z53" s="2">
        <v>13.23872549019608</v>
      </c>
      <c r="AB53" s="267">
        <v>2.83887468030386E-3</v>
      </c>
    </row>
    <row r="54" spans="1:28">
      <c r="A54" s="3" t="s">
        <v>218</v>
      </c>
      <c r="B54" s="3" t="s">
        <v>565</v>
      </c>
      <c r="C54" s="132"/>
      <c r="D54" s="132"/>
      <c r="E54" s="132"/>
      <c r="F54" s="132"/>
      <c r="G54" s="5">
        <v>10</v>
      </c>
      <c r="H54" s="5" t="s">
        <v>85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v>26.483128729752767</v>
      </c>
      <c r="V54" s="101" t="s">
        <v>218</v>
      </c>
      <c r="X54" s="102" t="s">
        <v>216</v>
      </c>
      <c r="Y54" s="2">
        <v>2.6477450980392159</v>
      </c>
      <c r="Z54" s="2">
        <v>26.47745098039216</v>
      </c>
      <c r="AB54" s="267">
        <v>5.6777493606077201E-3</v>
      </c>
    </row>
    <row r="55" spans="1:28">
      <c r="A55" s="3" t="s">
        <v>219</v>
      </c>
      <c r="B55" s="3" t="s">
        <v>566</v>
      </c>
      <c r="C55" s="132"/>
      <c r="D55" s="132"/>
      <c r="E55" s="132"/>
      <c r="F55" s="132"/>
      <c r="G55" s="5">
        <v>5</v>
      </c>
      <c r="H55" s="5" t="s">
        <v>85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v>6.1009316627334922</v>
      </c>
      <c r="V55" s="101" t="s">
        <v>219</v>
      </c>
      <c r="X55" s="103" t="s">
        <v>219</v>
      </c>
      <c r="Y55" s="2">
        <v>2.959613464246079</v>
      </c>
      <c r="Z55" s="2">
        <v>14.798067321230395</v>
      </c>
      <c r="AB55" s="267">
        <v>-8.6971356584969026</v>
      </c>
    </row>
    <row r="56" spans="1:28">
      <c r="A56" t="s">
        <v>224</v>
      </c>
      <c r="B56" t="s">
        <v>567</v>
      </c>
      <c r="C56" s="134"/>
      <c r="D56" s="134"/>
      <c r="E56" s="134"/>
      <c r="F56" s="134"/>
      <c r="G56" s="5">
        <v>10</v>
      </c>
      <c r="H56" s="5" t="s">
        <v>85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v>15.802400000000002</v>
      </c>
      <c r="V56" s="101" t="s">
        <v>224</v>
      </c>
      <c r="X56" s="171" t="s">
        <v>227</v>
      </c>
      <c r="Y56" s="2">
        <v>1.5802400000000001</v>
      </c>
      <c r="Z56" s="2">
        <v>15.8024</v>
      </c>
      <c r="AB56" s="267">
        <v>0</v>
      </c>
    </row>
    <row r="57" spans="1:28">
      <c r="A57" t="s">
        <v>225</v>
      </c>
      <c r="B57" t="s">
        <v>568</v>
      </c>
      <c r="C57" s="134"/>
      <c r="D57" s="134"/>
      <c r="E57" s="134"/>
      <c r="F57" s="134"/>
      <c r="G57" s="5">
        <v>10</v>
      </c>
      <c r="H57" s="5" t="s">
        <v>85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v>0.94500000000000006</v>
      </c>
      <c r="V57" s="101" t="s">
        <v>225</v>
      </c>
      <c r="X57" s="171" t="s">
        <v>225</v>
      </c>
      <c r="Y57" s="2">
        <v>9.4500000000000001E-2</v>
      </c>
      <c r="Z57" s="2">
        <v>0.94500000000000006</v>
      </c>
      <c r="AB57" s="267">
        <v>0</v>
      </c>
    </row>
    <row r="58" spans="1:28">
      <c r="A58" t="s">
        <v>226</v>
      </c>
      <c r="B58" t="s">
        <v>569</v>
      </c>
      <c r="C58" s="134"/>
      <c r="D58" s="134"/>
      <c r="E58" s="134"/>
      <c r="F58" s="134"/>
      <c r="G58" s="5">
        <v>20</v>
      </c>
      <c r="H58" s="5" t="s">
        <v>85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v>1.8900000000000001</v>
      </c>
      <c r="V58" s="101" t="s">
        <v>226</v>
      </c>
      <c r="X58" s="171" t="s">
        <v>225</v>
      </c>
      <c r="Y58" s="2">
        <v>9.4500000000000001E-2</v>
      </c>
      <c r="Z58" s="2">
        <v>1.8900000000000001</v>
      </c>
      <c r="AB58" s="267">
        <v>0</v>
      </c>
    </row>
    <row r="59" spans="1:28">
      <c r="A59" t="s">
        <v>227</v>
      </c>
      <c r="B59" t="s">
        <v>570</v>
      </c>
      <c r="C59" s="134"/>
      <c r="D59" s="134"/>
      <c r="E59" s="134"/>
      <c r="F59" s="134"/>
      <c r="G59" s="5">
        <v>5</v>
      </c>
      <c r="H59" s="5" t="s">
        <v>85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v>7.9012000000000011</v>
      </c>
      <c r="V59" s="101" t="s">
        <v>227</v>
      </c>
      <c r="X59" s="171" t="s">
        <v>227</v>
      </c>
      <c r="Y59" s="2">
        <v>1.5802400000000001</v>
      </c>
      <c r="Z59" s="2">
        <v>7.9012000000000002</v>
      </c>
      <c r="AB59" s="267">
        <v>0</v>
      </c>
    </row>
    <row r="60" spans="1:28">
      <c r="A60" t="s">
        <v>239</v>
      </c>
      <c r="B60" t="s">
        <v>240</v>
      </c>
      <c r="C60" s="134"/>
      <c r="D60" s="134"/>
      <c r="E60" s="134"/>
      <c r="F60" s="134"/>
      <c r="G60" s="5">
        <v>1</v>
      </c>
      <c r="H60" s="5" t="s">
        <v>150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v>3.1328770609715613</v>
      </c>
      <c r="V60" s="101" t="s">
        <v>239</v>
      </c>
      <c r="X60" s="170" t="s">
        <v>239</v>
      </c>
      <c r="Y60" s="2">
        <v>3.1328770609715613</v>
      </c>
      <c r="Z60" s="2">
        <v>3.1328770609715613</v>
      </c>
      <c r="AB60" s="267">
        <v>0</v>
      </c>
    </row>
    <row r="61" spans="1:28">
      <c r="A61" t="s">
        <v>242</v>
      </c>
      <c r="B61" t="s">
        <v>243</v>
      </c>
      <c r="C61" s="134"/>
      <c r="D61" s="134"/>
      <c r="E61" s="134"/>
      <c r="F61" s="134"/>
      <c r="G61" s="5">
        <v>1</v>
      </c>
      <c r="H61" s="5" t="s">
        <v>150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v>2.8574917167861131</v>
      </c>
      <c r="V61" s="101" t="s">
        <v>242</v>
      </c>
      <c r="X61" s="171" t="s">
        <v>242</v>
      </c>
      <c r="Y61" s="2">
        <v>2.8574917167861131</v>
      </c>
      <c r="Z61" s="2">
        <v>2.8574917167861131</v>
      </c>
      <c r="AB61" s="267">
        <v>0</v>
      </c>
    </row>
    <row r="62" spans="1:28">
      <c r="A62" t="s">
        <v>244</v>
      </c>
      <c r="B62" t="s">
        <v>245</v>
      </c>
      <c r="C62" s="134"/>
      <c r="D62" s="134"/>
      <c r="E62" s="134"/>
      <c r="F62" s="134"/>
      <c r="G62" s="5">
        <v>1</v>
      </c>
      <c r="H62" s="5" t="s">
        <v>150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v>2.7209002527707562</v>
      </c>
      <c r="V62" s="101" t="s">
        <v>244</v>
      </c>
      <c r="X62" s="170" t="s">
        <v>244</v>
      </c>
      <c r="Y62" s="2">
        <v>2.7209002527707562</v>
      </c>
      <c r="Z62" s="2">
        <v>2.7209002527707562</v>
      </c>
      <c r="AB62" s="267">
        <v>0</v>
      </c>
    </row>
    <row r="63" spans="1:28">
      <c r="A63" t="s">
        <v>246</v>
      </c>
      <c r="B63" t="s">
        <v>247</v>
      </c>
      <c r="C63" s="134"/>
      <c r="D63" s="134"/>
      <c r="E63" s="134"/>
      <c r="F63" s="134"/>
      <c r="G63" s="5">
        <v>1</v>
      </c>
      <c r="H63" s="5" t="s">
        <v>150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v>1.5553549889135256</v>
      </c>
      <c r="V63" s="101" t="s">
        <v>246</v>
      </c>
      <c r="X63" s="171" t="s">
        <v>246</v>
      </c>
      <c r="Y63" s="2">
        <v>1.5553549889135256</v>
      </c>
      <c r="Z63" s="2">
        <v>1.5553549889135256</v>
      </c>
      <c r="AB63" s="267">
        <v>0</v>
      </c>
    </row>
    <row r="64" spans="1:28">
      <c r="A64" t="s">
        <v>248</v>
      </c>
      <c r="B64" t="s">
        <v>249</v>
      </c>
      <c r="C64" s="134"/>
      <c r="D64" s="134"/>
      <c r="E64" s="134"/>
      <c r="F64" s="134"/>
      <c r="G64" s="5">
        <v>1</v>
      </c>
      <c r="H64" s="5" t="s">
        <v>150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v>12.361538461538462</v>
      </c>
      <c r="V64" s="101" t="s">
        <v>248</v>
      </c>
      <c r="X64" s="170" t="s">
        <v>248</v>
      </c>
      <c r="Y64" s="2">
        <v>12.361538461538462</v>
      </c>
      <c r="Z64" s="2">
        <v>12.361538461538462</v>
      </c>
      <c r="AB64" s="267">
        <v>0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A25" workbookViewId="0">
      <selection activeCell="J43" sqref="J43"/>
    </sheetView>
  </sheetViews>
  <sheetFormatPr defaultRowHeight="14.25"/>
  <cols>
    <col min="1" max="1" width="13.75" customWidth="1"/>
    <col min="2" max="2" width="11.75" customWidth="1"/>
    <col min="3" max="3" width="12.25" customWidth="1"/>
    <col min="4" max="4" width="22.75" customWidth="1"/>
    <col min="5" max="5" width="17.875" customWidth="1"/>
    <col min="6" max="6" width="10.75" customWidth="1"/>
    <col min="7" max="7" width="12.5" customWidth="1"/>
    <col min="8" max="8" width="16.875" customWidth="1"/>
    <col min="9" max="9" width="15" customWidth="1"/>
    <col min="10" max="10" width="11.5" customWidth="1"/>
    <col min="11" max="11" width="9.125" customWidth="1"/>
    <col min="12" max="12" width="13.125" customWidth="1"/>
    <col min="13" max="13" width="13.5" customWidth="1"/>
    <col min="14" max="14" width="10.25" customWidth="1"/>
    <col min="15" max="15" width="12.125" customWidth="1"/>
    <col min="16" max="16" width="10.625" customWidth="1"/>
    <col min="17" max="17" width="23.25" customWidth="1"/>
    <col min="18" max="18" width="23.375" customWidth="1"/>
    <col min="19" max="19" width="10.75" customWidth="1"/>
    <col min="20" max="20" width="10.125" customWidth="1"/>
    <col min="21" max="21" width="12" customWidth="1"/>
  </cols>
  <sheetData>
    <row r="1" spans="1:2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</row>
    <row r="2" spans="1:21" s="2" customFormat="1">
      <c r="A2" s="3" t="s">
        <v>64</v>
      </c>
      <c r="B2" s="3" t="s">
        <v>65</v>
      </c>
      <c r="C2" s="3" t="s">
        <v>66</v>
      </c>
      <c r="D2" s="3" t="s">
        <v>66</v>
      </c>
      <c r="E2" s="3" t="s">
        <v>45</v>
      </c>
      <c r="F2" s="3" t="s">
        <v>67</v>
      </c>
      <c r="G2" s="5" t="s">
        <v>71</v>
      </c>
      <c r="H2" s="5">
        <v>25</v>
      </c>
      <c r="I2" s="5" t="s">
        <v>50</v>
      </c>
      <c r="J2" s="5" t="s">
        <v>50</v>
      </c>
      <c r="K2" s="3" t="s">
        <v>52</v>
      </c>
      <c r="L2" s="3" t="s">
        <v>72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9.32</v>
      </c>
    </row>
    <row r="3" spans="1:21" s="2" customFormat="1">
      <c r="A3" s="3" t="s">
        <v>91</v>
      </c>
      <c r="B3" s="3" t="s">
        <v>92</v>
      </c>
      <c r="C3" s="3" t="s">
        <v>66</v>
      </c>
      <c r="D3" s="3" t="s">
        <v>66</v>
      </c>
      <c r="E3" s="3" t="s">
        <v>45</v>
      </c>
      <c r="F3" s="3" t="s">
        <v>67</v>
      </c>
      <c r="G3" s="5" t="s">
        <v>49</v>
      </c>
      <c r="H3" s="5">
        <v>1</v>
      </c>
      <c r="I3" s="5" t="s">
        <v>93</v>
      </c>
      <c r="J3" s="5" t="s">
        <v>93</v>
      </c>
      <c r="K3" s="3" t="s">
        <v>52</v>
      </c>
      <c r="L3" s="3" t="s">
        <v>72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0.58599999999999997</v>
      </c>
    </row>
    <row r="4" spans="1:21" s="2" customFormat="1">
      <c r="A4" s="3" t="s">
        <v>95</v>
      </c>
      <c r="B4" s="3" t="s">
        <v>96</v>
      </c>
      <c r="C4" s="3" t="s">
        <v>66</v>
      </c>
      <c r="D4" s="3" t="s">
        <v>66</v>
      </c>
      <c r="E4" s="3" t="s">
        <v>45</v>
      </c>
      <c r="F4" s="3" t="s">
        <v>67</v>
      </c>
      <c r="G4" s="5" t="s">
        <v>49</v>
      </c>
      <c r="H4" s="5">
        <v>1</v>
      </c>
      <c r="I4" s="5" t="s">
        <v>93</v>
      </c>
      <c r="J4" s="5" t="s">
        <v>94</v>
      </c>
      <c r="K4" s="3" t="s">
        <v>52</v>
      </c>
      <c r="L4" s="3" t="s">
        <v>72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1.22</v>
      </c>
    </row>
    <row r="5" spans="1:21" s="2" customFormat="1">
      <c r="A5" s="3" t="s">
        <v>97</v>
      </c>
      <c r="B5" s="3" t="s">
        <v>98</v>
      </c>
      <c r="C5" s="3" t="s">
        <v>66</v>
      </c>
      <c r="D5" s="3" t="s">
        <v>66</v>
      </c>
      <c r="E5" s="3" t="s">
        <v>45</v>
      </c>
      <c r="F5" s="3" t="s">
        <v>67</v>
      </c>
      <c r="G5" s="5" t="s">
        <v>71</v>
      </c>
      <c r="H5" s="5"/>
      <c r="I5" s="5" t="s">
        <v>71</v>
      </c>
      <c r="J5" s="5" t="s">
        <v>71</v>
      </c>
      <c r="K5" s="3" t="s">
        <v>52</v>
      </c>
      <c r="L5" s="3" t="s">
        <v>72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0.22789999999999999</v>
      </c>
    </row>
    <row r="6" spans="1:21" s="2" customFormat="1">
      <c r="A6" s="3" t="s">
        <v>100</v>
      </c>
      <c r="B6" s="3" t="s">
        <v>101</v>
      </c>
      <c r="C6" s="3" t="s">
        <v>66</v>
      </c>
      <c r="D6" s="3" t="s">
        <v>66</v>
      </c>
      <c r="E6" s="3" t="s">
        <v>45</v>
      </c>
      <c r="F6" s="3" t="s">
        <v>67</v>
      </c>
      <c r="G6" s="5" t="s">
        <v>71</v>
      </c>
      <c r="H6" s="5"/>
      <c r="I6" s="5" t="s">
        <v>71</v>
      </c>
      <c r="J6" s="5" t="s">
        <v>71</v>
      </c>
      <c r="K6" s="3" t="s">
        <v>52</v>
      </c>
      <c r="L6" s="3" t="s">
        <v>72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45</v>
      </c>
    </row>
    <row r="7" spans="1:21" s="2" customFormat="1">
      <c r="A7" s="3" t="s">
        <v>102</v>
      </c>
      <c r="B7" s="3" t="s">
        <v>103</v>
      </c>
      <c r="C7" s="3" t="s">
        <v>66</v>
      </c>
      <c r="D7" s="3" t="s">
        <v>66</v>
      </c>
      <c r="E7" s="3" t="s">
        <v>45</v>
      </c>
      <c r="F7" s="3" t="s">
        <v>67</v>
      </c>
      <c r="G7" s="5" t="s">
        <v>71</v>
      </c>
      <c r="H7" s="5">
        <v>210</v>
      </c>
      <c r="I7" s="5" t="s">
        <v>50</v>
      </c>
      <c r="J7" s="5" t="s">
        <v>50</v>
      </c>
      <c r="K7" s="3" t="s">
        <v>52</v>
      </c>
      <c r="L7" s="3" t="s">
        <v>72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4.9800000000000004</v>
      </c>
    </row>
    <row r="8" spans="1:21" s="2" customFormat="1">
      <c r="A8" s="3" t="s">
        <v>114</v>
      </c>
      <c r="B8" s="3" t="s">
        <v>115</v>
      </c>
      <c r="C8" s="3" t="s">
        <v>66</v>
      </c>
      <c r="D8" s="3" t="s">
        <v>66</v>
      </c>
      <c r="E8" s="3" t="s">
        <v>45</v>
      </c>
      <c r="F8" s="3" t="s">
        <v>67</v>
      </c>
      <c r="G8" s="5" t="s">
        <v>71</v>
      </c>
      <c r="H8" s="5"/>
      <c r="I8" s="5" t="s">
        <v>71</v>
      </c>
      <c r="J8" s="5" t="s">
        <v>71</v>
      </c>
      <c r="K8" s="3" t="s">
        <v>52</v>
      </c>
      <c r="L8" s="3" t="s">
        <v>72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5.7500000000000002E-2</v>
      </c>
    </row>
    <row r="9" spans="1:21" s="2" customFormat="1">
      <c r="A9" s="3" t="s">
        <v>116</v>
      </c>
      <c r="B9" s="3" t="s">
        <v>117</v>
      </c>
      <c r="C9" s="3" t="s">
        <v>66</v>
      </c>
      <c r="D9" s="3" t="s">
        <v>66</v>
      </c>
      <c r="E9" s="3" t="s">
        <v>45</v>
      </c>
      <c r="F9" s="3" t="s">
        <v>67</v>
      </c>
      <c r="G9" s="5" t="s">
        <v>71</v>
      </c>
      <c r="H9" s="5"/>
      <c r="I9" s="5" t="s">
        <v>71</v>
      </c>
      <c r="J9" s="5" t="s">
        <v>71</v>
      </c>
      <c r="K9" s="3" t="s">
        <v>52</v>
      </c>
      <c r="L9" s="3" t="s">
        <v>72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43</v>
      </c>
    </row>
    <row r="10" spans="1:21" s="2" customFormat="1">
      <c r="A10" s="3" t="s">
        <v>118</v>
      </c>
      <c r="B10" s="3" t="s">
        <v>119</v>
      </c>
      <c r="C10" s="3" t="s">
        <v>66</v>
      </c>
      <c r="D10" s="3" t="s">
        <v>66</v>
      </c>
      <c r="E10" s="3" t="s">
        <v>45</v>
      </c>
      <c r="F10" s="3" t="s">
        <v>67</v>
      </c>
      <c r="G10" s="5" t="s">
        <v>71</v>
      </c>
      <c r="H10" s="5"/>
      <c r="I10" s="5" t="s">
        <v>71</v>
      </c>
      <c r="J10" s="5" t="s">
        <v>71</v>
      </c>
      <c r="K10" s="3" t="s">
        <v>52</v>
      </c>
      <c r="L10" s="3" t="s">
        <v>72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32</v>
      </c>
    </row>
    <row r="11" spans="1:21" s="2" customFormat="1">
      <c r="A11" s="3" t="s">
        <v>120</v>
      </c>
      <c r="B11" s="3" t="s">
        <v>121</v>
      </c>
      <c r="C11" s="3" t="s">
        <v>66</v>
      </c>
      <c r="D11" s="3" t="s">
        <v>66</v>
      </c>
      <c r="E11" s="3" t="s">
        <v>45</v>
      </c>
      <c r="F11" s="3" t="s">
        <v>67</v>
      </c>
      <c r="G11" s="5" t="s">
        <v>71</v>
      </c>
      <c r="H11" s="5"/>
      <c r="I11" s="5" t="s">
        <v>71</v>
      </c>
      <c r="J11" s="5" t="s">
        <v>71</v>
      </c>
      <c r="K11" s="3" t="s">
        <v>52</v>
      </c>
      <c r="L11" s="3" t="s">
        <v>72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3</v>
      </c>
    </row>
    <row r="12" spans="1:21" s="2" customFormat="1">
      <c r="A12" s="3" t="s">
        <v>122</v>
      </c>
      <c r="B12" s="3" t="s">
        <v>123</v>
      </c>
      <c r="C12" s="3" t="s">
        <v>66</v>
      </c>
      <c r="D12" s="3" t="s">
        <v>66</v>
      </c>
      <c r="E12" s="3" t="s">
        <v>45</v>
      </c>
      <c r="F12" s="3" t="s">
        <v>67</v>
      </c>
      <c r="G12" s="5" t="s">
        <v>71</v>
      </c>
      <c r="H12" s="5"/>
      <c r="I12" s="5" t="s">
        <v>71</v>
      </c>
      <c r="J12" s="5" t="s">
        <v>71</v>
      </c>
      <c r="K12" s="3" t="s">
        <v>52</v>
      </c>
      <c r="L12" s="3" t="s">
        <v>72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22</v>
      </c>
    </row>
    <row r="13" spans="1:21" s="2" customFormat="1">
      <c r="A13" s="3" t="s">
        <v>124</v>
      </c>
      <c r="B13" s="3" t="s">
        <v>125</v>
      </c>
      <c r="C13" s="3" t="s">
        <v>66</v>
      </c>
      <c r="D13" s="3" t="s">
        <v>66</v>
      </c>
      <c r="E13" s="3" t="s">
        <v>45</v>
      </c>
      <c r="F13" s="3" t="s">
        <v>67</v>
      </c>
      <c r="G13" s="5" t="s">
        <v>71</v>
      </c>
      <c r="H13" s="5"/>
      <c r="I13" s="5" t="s">
        <v>71</v>
      </c>
      <c r="J13" s="5" t="s">
        <v>71</v>
      </c>
      <c r="K13" s="3" t="s">
        <v>52</v>
      </c>
      <c r="L13" s="3" t="s">
        <v>72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5.7500000000000002E-2</v>
      </c>
    </row>
    <row r="14" spans="1:21" s="2" customFormat="1">
      <c r="A14" s="3" t="s">
        <v>126</v>
      </c>
      <c r="B14" s="3" t="s">
        <v>127</v>
      </c>
      <c r="C14" s="3" t="s">
        <v>66</v>
      </c>
      <c r="D14" s="3" t="s">
        <v>66</v>
      </c>
      <c r="E14" s="3" t="s">
        <v>45</v>
      </c>
      <c r="F14" s="3" t="s">
        <v>67</v>
      </c>
      <c r="G14" s="5" t="s">
        <v>71</v>
      </c>
      <c r="H14" s="5">
        <v>25</v>
      </c>
      <c r="I14" s="5" t="s">
        <v>93</v>
      </c>
      <c r="J14" s="5" t="s">
        <v>93</v>
      </c>
      <c r="K14" s="3" t="s">
        <v>52</v>
      </c>
      <c r="L14" s="3" t="s">
        <v>72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0.45200000000000001</v>
      </c>
    </row>
    <row r="15" spans="1:21" s="2" customFormat="1">
      <c r="A15" s="3" t="s">
        <v>128</v>
      </c>
      <c r="B15" s="3" t="s">
        <v>129</v>
      </c>
      <c r="C15" s="3" t="s">
        <v>66</v>
      </c>
      <c r="D15" s="3" t="s">
        <v>66</v>
      </c>
      <c r="E15" s="3" t="s">
        <v>45</v>
      </c>
      <c r="F15" s="3" t="s">
        <v>67</v>
      </c>
      <c r="G15" s="5" t="s">
        <v>71</v>
      </c>
      <c r="H15" s="5">
        <v>10</v>
      </c>
      <c r="I15" s="5" t="s">
        <v>93</v>
      </c>
      <c r="J15" s="5" t="s">
        <v>93</v>
      </c>
      <c r="K15" s="3" t="s">
        <v>52</v>
      </c>
      <c r="L15" s="3" t="s">
        <v>72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8.0399999999999991</v>
      </c>
    </row>
    <row r="16" spans="1:21" s="2" customFormat="1">
      <c r="A16" s="3" t="s">
        <v>137</v>
      </c>
      <c r="B16" s="3" t="s">
        <v>138</v>
      </c>
      <c r="C16" s="3" t="s">
        <v>66</v>
      </c>
      <c r="D16" s="3" t="s">
        <v>66</v>
      </c>
      <c r="E16" s="3" t="s">
        <v>45</v>
      </c>
      <c r="F16" s="3" t="s">
        <v>67</v>
      </c>
      <c r="G16" s="5" t="s">
        <v>71</v>
      </c>
      <c r="H16" s="5"/>
      <c r="I16" s="5" t="s">
        <v>71</v>
      </c>
      <c r="J16" s="5" t="s">
        <v>71</v>
      </c>
      <c r="K16" s="3" t="s">
        <v>52</v>
      </c>
      <c r="L16" s="3" t="s">
        <v>72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45.2</v>
      </c>
    </row>
    <row r="17" spans="1:21" s="2" customFormat="1">
      <c r="A17" s="3" t="s">
        <v>139</v>
      </c>
      <c r="B17" s="3" t="s">
        <v>140</v>
      </c>
      <c r="C17" s="3" t="s">
        <v>66</v>
      </c>
      <c r="D17" s="3" t="s">
        <v>66</v>
      </c>
      <c r="E17" s="3" t="s">
        <v>45</v>
      </c>
      <c r="F17" s="3" t="s">
        <v>67</v>
      </c>
      <c r="G17" s="5" t="s">
        <v>71</v>
      </c>
      <c r="H17" s="5">
        <v>125</v>
      </c>
      <c r="I17" s="5" t="s">
        <v>50</v>
      </c>
      <c r="J17" s="5" t="s">
        <v>50</v>
      </c>
      <c r="K17" s="3" t="s">
        <v>52</v>
      </c>
      <c r="L17" s="3" t="s">
        <v>72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2.4</v>
      </c>
    </row>
    <row r="18" spans="1:21" s="2" customFormat="1">
      <c r="A18" s="3" t="s">
        <v>164</v>
      </c>
      <c r="B18" s="3" t="s">
        <v>165</v>
      </c>
      <c r="C18" s="3" t="s">
        <v>66</v>
      </c>
      <c r="D18" s="3" t="s">
        <v>66</v>
      </c>
      <c r="E18" s="3" t="s">
        <v>45</v>
      </c>
      <c r="F18" s="3" t="s">
        <v>67</v>
      </c>
      <c r="G18" s="5" t="s">
        <v>71</v>
      </c>
      <c r="H18" s="5">
        <v>25</v>
      </c>
      <c r="I18" s="5" t="s">
        <v>93</v>
      </c>
      <c r="J18" s="5" t="s">
        <v>93</v>
      </c>
      <c r="K18" s="3" t="s">
        <v>52</v>
      </c>
      <c r="L18" s="3" t="s">
        <v>72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2.948</v>
      </c>
    </row>
    <row r="19" spans="1:21" s="2" customFormat="1">
      <c r="A19" s="3" t="s">
        <v>166</v>
      </c>
      <c r="B19" s="3" t="s">
        <v>167</v>
      </c>
      <c r="C19" s="3" t="s">
        <v>66</v>
      </c>
      <c r="D19" s="3" t="s">
        <v>66</v>
      </c>
      <c r="E19" s="3" t="s">
        <v>45</v>
      </c>
      <c r="F19" s="3" t="s">
        <v>67</v>
      </c>
      <c r="G19" s="5" t="s">
        <v>49</v>
      </c>
      <c r="H19" s="5"/>
      <c r="I19" s="5" t="s">
        <v>93</v>
      </c>
      <c r="J19" s="5" t="s">
        <v>93</v>
      </c>
      <c r="K19" s="3" t="s">
        <v>52</v>
      </c>
      <c r="L19" s="3" t="s">
        <v>72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1.32</v>
      </c>
    </row>
    <row r="20" spans="1:21" s="2" customFormat="1">
      <c r="A20" s="3" t="s">
        <v>168</v>
      </c>
      <c r="B20" s="3" t="s">
        <v>169</v>
      </c>
      <c r="C20" s="3" t="s">
        <v>66</v>
      </c>
      <c r="D20" s="3" t="s">
        <v>66</v>
      </c>
      <c r="E20" s="3" t="s">
        <v>45</v>
      </c>
      <c r="F20" s="3" t="s">
        <v>67</v>
      </c>
      <c r="G20" s="5" t="s">
        <v>71</v>
      </c>
      <c r="H20" s="5">
        <v>25</v>
      </c>
      <c r="I20" s="5" t="s">
        <v>93</v>
      </c>
      <c r="J20" s="5" t="s">
        <v>93</v>
      </c>
      <c r="K20" s="3" t="s">
        <v>52</v>
      </c>
      <c r="L20" s="3" t="s">
        <v>72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2.65</v>
      </c>
    </row>
    <row r="21" spans="1:21" s="2" customFormat="1">
      <c r="A21" s="3" t="s">
        <v>170</v>
      </c>
      <c r="B21" s="3" t="s">
        <v>171</v>
      </c>
      <c r="C21" s="3" t="s">
        <v>66</v>
      </c>
      <c r="D21" s="3" t="s">
        <v>66</v>
      </c>
      <c r="E21" s="3" t="s">
        <v>45</v>
      </c>
      <c r="F21" s="3" t="s">
        <v>67</v>
      </c>
      <c r="G21" s="5" t="s">
        <v>71</v>
      </c>
      <c r="H21" s="5">
        <v>25</v>
      </c>
      <c r="I21" s="5" t="s">
        <v>93</v>
      </c>
      <c r="J21" s="5" t="s">
        <v>93</v>
      </c>
      <c r="K21" s="3" t="s">
        <v>52</v>
      </c>
      <c r="L21" s="3" t="s">
        <v>72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14.15</v>
      </c>
    </row>
    <row r="22" spans="1:21" s="2" customFormat="1">
      <c r="A22" s="3" t="s">
        <v>172</v>
      </c>
      <c r="B22" s="3" t="s">
        <v>173</v>
      </c>
      <c r="C22" s="3" t="s">
        <v>66</v>
      </c>
      <c r="D22" s="3" t="s">
        <v>66</v>
      </c>
      <c r="E22" s="3" t="s">
        <v>45</v>
      </c>
      <c r="F22" s="3" t="s">
        <v>67</v>
      </c>
      <c r="G22" s="5" t="s">
        <v>71</v>
      </c>
      <c r="H22" s="5">
        <v>50</v>
      </c>
      <c r="I22" s="5" t="s">
        <v>50</v>
      </c>
      <c r="J22" s="5" t="s">
        <v>50</v>
      </c>
      <c r="K22" s="3" t="s">
        <v>52</v>
      </c>
      <c r="L22" s="3" t="s">
        <v>72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11.13</v>
      </c>
    </row>
    <row r="23" spans="1:21" s="2" customFormat="1">
      <c r="A23" s="3" t="s">
        <v>174</v>
      </c>
      <c r="B23" s="3" t="s">
        <v>175</v>
      </c>
      <c r="C23" s="3" t="s">
        <v>66</v>
      </c>
      <c r="D23" s="3" t="s">
        <v>66</v>
      </c>
      <c r="E23" s="3" t="s">
        <v>45</v>
      </c>
      <c r="F23" s="3" t="s">
        <v>67</v>
      </c>
      <c r="G23" s="5" t="s">
        <v>49</v>
      </c>
      <c r="H23" s="5">
        <v>10</v>
      </c>
      <c r="I23" s="5" t="s">
        <v>176</v>
      </c>
      <c r="J23" s="5" t="s">
        <v>176</v>
      </c>
      <c r="K23" s="3" t="s">
        <v>52</v>
      </c>
      <c r="L23" s="3" t="s">
        <v>72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11.16</v>
      </c>
    </row>
    <row r="24" spans="1:21" s="2" customFormat="1">
      <c r="A24" s="3" t="s">
        <v>177</v>
      </c>
      <c r="B24" s="3" t="s">
        <v>178</v>
      </c>
      <c r="C24" s="3" t="s">
        <v>66</v>
      </c>
      <c r="D24" s="3" t="s">
        <v>66</v>
      </c>
      <c r="E24" s="3" t="s">
        <v>45</v>
      </c>
      <c r="F24" s="3" t="s">
        <v>67</v>
      </c>
      <c r="G24" s="5" t="s">
        <v>71</v>
      </c>
      <c r="H24" s="5">
        <v>25</v>
      </c>
      <c r="I24" s="5" t="s">
        <v>93</v>
      </c>
      <c r="J24" s="5" t="s">
        <v>93</v>
      </c>
      <c r="K24" s="3" t="s">
        <v>52</v>
      </c>
      <c r="L24" s="3" t="s">
        <v>72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0.375</v>
      </c>
    </row>
    <row r="25" spans="1:21" s="2" customFormat="1">
      <c r="A25" s="3" t="s">
        <v>179</v>
      </c>
      <c r="B25" s="3" t="s">
        <v>180</v>
      </c>
      <c r="C25" s="3" t="s">
        <v>66</v>
      </c>
      <c r="D25" s="3" t="s">
        <v>66</v>
      </c>
      <c r="E25" s="3" t="s">
        <v>45</v>
      </c>
      <c r="F25" s="3" t="s">
        <v>67</v>
      </c>
      <c r="G25" s="5" t="s">
        <v>71</v>
      </c>
      <c r="H25" s="5">
        <v>25</v>
      </c>
      <c r="I25" s="5" t="s">
        <v>93</v>
      </c>
      <c r="J25" s="5" t="s">
        <v>93</v>
      </c>
      <c r="K25" s="3" t="s">
        <v>52</v>
      </c>
      <c r="L25" s="3" t="s">
        <v>72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3.49</v>
      </c>
    </row>
    <row r="26" spans="1:21" s="2" customFormat="1">
      <c r="A26" s="3" t="s">
        <v>181</v>
      </c>
      <c r="B26" s="3" t="s">
        <v>182</v>
      </c>
      <c r="C26" s="3" t="s">
        <v>66</v>
      </c>
      <c r="D26" s="3" t="s">
        <v>66</v>
      </c>
      <c r="E26" s="3" t="s">
        <v>45</v>
      </c>
      <c r="F26" s="3" t="s">
        <v>67</v>
      </c>
      <c r="G26" s="5" t="s">
        <v>71</v>
      </c>
      <c r="H26" s="5">
        <v>25</v>
      </c>
      <c r="I26" s="5" t="s">
        <v>93</v>
      </c>
      <c r="J26" s="5" t="s">
        <v>93</v>
      </c>
      <c r="K26" s="3" t="s">
        <v>52</v>
      </c>
      <c r="L26" s="3" t="s">
        <v>72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8.5</v>
      </c>
    </row>
    <row r="27" spans="1:21" s="2" customFormat="1">
      <c r="A27" s="3" t="s">
        <v>183</v>
      </c>
      <c r="B27" s="3" t="s">
        <v>184</v>
      </c>
      <c r="C27" s="3" t="s">
        <v>66</v>
      </c>
      <c r="D27" s="3" t="s">
        <v>66</v>
      </c>
      <c r="E27" s="3" t="s">
        <v>45</v>
      </c>
      <c r="F27" s="3" t="s">
        <v>67</v>
      </c>
      <c r="G27" s="5" t="s">
        <v>71</v>
      </c>
      <c r="H27" s="5">
        <v>15</v>
      </c>
      <c r="I27" s="5" t="s">
        <v>93</v>
      </c>
      <c r="J27" s="5" t="s">
        <v>93</v>
      </c>
      <c r="K27" s="3" t="s">
        <v>52</v>
      </c>
      <c r="L27" s="3" t="s">
        <v>72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9.6999999999999993</v>
      </c>
    </row>
    <row r="28" spans="1:21" s="2" customFormat="1">
      <c r="A28" s="3" t="s">
        <v>185</v>
      </c>
      <c r="B28" s="3" t="s">
        <v>186</v>
      </c>
      <c r="C28" s="3" t="s">
        <v>66</v>
      </c>
      <c r="D28" s="3" t="s">
        <v>66</v>
      </c>
      <c r="E28" s="3" t="s">
        <v>45</v>
      </c>
      <c r="F28" s="3" t="s">
        <v>67</v>
      </c>
      <c r="G28" s="5" t="s">
        <v>49</v>
      </c>
      <c r="H28" s="5">
        <v>1</v>
      </c>
      <c r="I28" s="5" t="s">
        <v>131</v>
      </c>
      <c r="J28" s="5" t="s">
        <v>131</v>
      </c>
      <c r="K28" s="3" t="s">
        <v>52</v>
      </c>
      <c r="L28" s="3" t="s">
        <v>72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8.18</v>
      </c>
    </row>
    <row r="29" spans="1:21" s="2" customFormat="1">
      <c r="A29" s="3" t="s">
        <v>187</v>
      </c>
      <c r="B29" s="3" t="s">
        <v>188</v>
      </c>
      <c r="C29" s="3" t="s">
        <v>66</v>
      </c>
      <c r="D29" s="3" t="s">
        <v>66</v>
      </c>
      <c r="E29" s="3" t="s">
        <v>45</v>
      </c>
      <c r="F29" s="3" t="s">
        <v>67</v>
      </c>
      <c r="G29" s="5" t="s">
        <v>71</v>
      </c>
      <c r="H29" s="5">
        <v>200</v>
      </c>
      <c r="I29" s="5" t="s">
        <v>50</v>
      </c>
      <c r="J29" s="5" t="s">
        <v>50</v>
      </c>
      <c r="K29" s="3" t="s">
        <v>52</v>
      </c>
      <c r="L29" s="3" t="s">
        <v>72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0.497</v>
      </c>
    </row>
    <row r="30" spans="1:21" s="2" customFormat="1">
      <c r="A30" s="3" t="s">
        <v>189</v>
      </c>
      <c r="B30" s="3" t="s">
        <v>190</v>
      </c>
      <c r="C30" s="3" t="s">
        <v>66</v>
      </c>
      <c r="D30" s="3" t="s">
        <v>66</v>
      </c>
      <c r="E30" s="3" t="s">
        <v>45</v>
      </c>
      <c r="F30" s="3" t="s">
        <v>67</v>
      </c>
      <c r="G30" s="5" t="s">
        <v>49</v>
      </c>
      <c r="H30" s="5">
        <v>1</v>
      </c>
      <c r="I30" s="5" t="s">
        <v>50</v>
      </c>
      <c r="J30" s="5" t="s">
        <v>50</v>
      </c>
      <c r="K30" s="3" t="s">
        <v>52</v>
      </c>
      <c r="L30" s="3" t="s">
        <v>72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1.43</v>
      </c>
    </row>
    <row r="31" spans="1:21" s="2" customFormat="1">
      <c r="A31" s="3" t="s">
        <v>191</v>
      </c>
      <c r="B31" s="3" t="s">
        <v>192</v>
      </c>
      <c r="C31" s="3" t="s">
        <v>66</v>
      </c>
      <c r="D31" s="3" t="s">
        <v>66</v>
      </c>
      <c r="E31" s="3" t="s">
        <v>45</v>
      </c>
      <c r="F31" s="3" t="s">
        <v>67</v>
      </c>
      <c r="G31" s="5" t="s">
        <v>71</v>
      </c>
      <c r="H31" s="5">
        <v>25</v>
      </c>
      <c r="I31" s="5" t="s">
        <v>93</v>
      </c>
      <c r="J31" s="5" t="s">
        <v>93</v>
      </c>
      <c r="K31" s="3" t="s">
        <v>52</v>
      </c>
      <c r="L31" s="3" t="s">
        <v>72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6.3</v>
      </c>
    </row>
    <row r="32" spans="1:21" s="2" customFormat="1">
      <c r="A32" s="3" t="s">
        <v>193</v>
      </c>
      <c r="B32" s="3" t="s">
        <v>194</v>
      </c>
      <c r="C32" s="3" t="s">
        <v>66</v>
      </c>
      <c r="D32" s="3" t="s">
        <v>66</v>
      </c>
      <c r="E32" s="3" t="s">
        <v>45</v>
      </c>
      <c r="F32" s="3" t="s">
        <v>67</v>
      </c>
      <c r="G32" s="5" t="s">
        <v>71</v>
      </c>
      <c r="H32" s="5">
        <v>25</v>
      </c>
      <c r="I32" s="5" t="s">
        <v>93</v>
      </c>
      <c r="J32" s="5" t="s">
        <v>93</v>
      </c>
      <c r="K32" s="3" t="s">
        <v>52</v>
      </c>
      <c r="L32" s="3" t="s">
        <v>72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2.5</v>
      </c>
    </row>
    <row r="33" spans="1:21" s="2" customFormat="1">
      <c r="A33" s="3" t="s">
        <v>220</v>
      </c>
      <c r="B33" s="3" t="s">
        <v>221</v>
      </c>
      <c r="C33" s="3" t="s">
        <v>66</v>
      </c>
      <c r="D33" s="3" t="s">
        <v>66</v>
      </c>
      <c r="E33" s="3" t="s">
        <v>45</v>
      </c>
      <c r="F33" s="3" t="s">
        <v>67</v>
      </c>
      <c r="G33" s="5" t="s">
        <v>71</v>
      </c>
      <c r="H33" s="5">
        <v>220</v>
      </c>
      <c r="I33" s="5" t="s">
        <v>50</v>
      </c>
      <c r="J33" s="5" t="s">
        <v>50</v>
      </c>
      <c r="K33" s="3" t="s">
        <v>52</v>
      </c>
      <c r="L33" s="3" t="s">
        <v>72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3.72</v>
      </c>
    </row>
    <row r="34" spans="1:21" s="2" customFormat="1">
      <c r="A34" s="3" t="s">
        <v>222</v>
      </c>
      <c r="B34" s="3" t="s">
        <v>223</v>
      </c>
      <c r="C34" s="3" t="s">
        <v>66</v>
      </c>
      <c r="D34" s="3" t="s">
        <v>66</v>
      </c>
      <c r="E34" s="3" t="s">
        <v>45</v>
      </c>
      <c r="F34" s="3" t="s">
        <v>67</v>
      </c>
      <c r="G34" s="5" t="s">
        <v>71</v>
      </c>
      <c r="H34" s="5">
        <v>220</v>
      </c>
      <c r="I34" s="5" t="s">
        <v>50</v>
      </c>
      <c r="J34" s="5" t="s">
        <v>50</v>
      </c>
      <c r="K34" s="3" t="s">
        <v>52</v>
      </c>
      <c r="L34" s="3" t="s">
        <v>72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2.65</v>
      </c>
    </row>
    <row r="35" spans="1:21" s="2" customFormat="1">
      <c r="A35" s="3" t="s">
        <v>234</v>
      </c>
      <c r="B35" s="3" t="s">
        <v>235</v>
      </c>
      <c r="C35" s="3" t="s">
        <v>66</v>
      </c>
      <c r="D35" s="3" t="s">
        <v>66</v>
      </c>
      <c r="E35" s="3" t="s">
        <v>45</v>
      </c>
      <c r="F35" s="3" t="s">
        <v>67</v>
      </c>
      <c r="G35" s="5" t="s">
        <v>71</v>
      </c>
      <c r="H35" s="5">
        <v>25</v>
      </c>
      <c r="I35" s="5" t="s">
        <v>50</v>
      </c>
      <c r="J35" s="5" t="s">
        <v>50</v>
      </c>
      <c r="K35" s="3" t="s">
        <v>52</v>
      </c>
      <c r="L35" s="3" t="s">
        <v>72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8.08</v>
      </c>
    </row>
    <row r="36" spans="1:21" s="2" customFormat="1">
      <c r="A36" s="3" t="s">
        <v>237</v>
      </c>
      <c r="B36" s="3" t="s">
        <v>238</v>
      </c>
      <c r="C36" s="3" t="s">
        <v>66</v>
      </c>
      <c r="D36" s="3" t="s">
        <v>66</v>
      </c>
      <c r="E36" s="3" t="s">
        <v>45</v>
      </c>
      <c r="F36" s="3" t="s">
        <v>67</v>
      </c>
      <c r="G36" s="5" t="s">
        <v>71</v>
      </c>
      <c r="H36" s="5">
        <v>25</v>
      </c>
      <c r="I36" s="5" t="s">
        <v>50</v>
      </c>
      <c r="J36" s="5" t="s">
        <v>50</v>
      </c>
      <c r="K36" s="3" t="s">
        <v>52</v>
      </c>
      <c r="L36" s="3" t="s">
        <v>72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6.06</v>
      </c>
    </row>
    <row r="37" spans="1:21" s="2" customFormat="1">
      <c r="A37" s="3" t="s">
        <v>250</v>
      </c>
      <c r="B37" s="3" t="s">
        <v>251</v>
      </c>
      <c r="C37" s="3" t="s">
        <v>66</v>
      </c>
      <c r="D37" s="3" t="s">
        <v>66</v>
      </c>
      <c r="E37" s="3" t="s">
        <v>45</v>
      </c>
      <c r="F37" s="3" t="s">
        <v>67</v>
      </c>
      <c r="G37" s="5" t="s">
        <v>71</v>
      </c>
      <c r="H37" s="5">
        <v>25</v>
      </c>
      <c r="I37" s="5" t="s">
        <v>93</v>
      </c>
      <c r="J37" s="5" t="s">
        <v>93</v>
      </c>
      <c r="K37" s="3" t="s">
        <v>52</v>
      </c>
      <c r="L37" s="3" t="s">
        <v>72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2.2000000000000002</v>
      </c>
    </row>
    <row r="38" spans="1:21" s="2" customFormat="1">
      <c r="A38" s="3" t="s">
        <v>252</v>
      </c>
      <c r="B38" s="3" t="s">
        <v>253</v>
      </c>
      <c r="C38" s="3" t="s">
        <v>66</v>
      </c>
      <c r="D38" s="3" t="s">
        <v>66</v>
      </c>
      <c r="E38" s="3" t="s">
        <v>45</v>
      </c>
      <c r="F38" s="3" t="s">
        <v>67</v>
      </c>
      <c r="G38" s="5" t="s">
        <v>71</v>
      </c>
      <c r="H38" s="5">
        <v>25</v>
      </c>
      <c r="I38" s="5" t="s">
        <v>93</v>
      </c>
      <c r="J38" s="5" t="s">
        <v>93</v>
      </c>
      <c r="K38" s="3" t="s">
        <v>52</v>
      </c>
      <c r="L38" s="3" t="s">
        <v>72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3.1</v>
      </c>
    </row>
    <row r="39" spans="1:21" s="2" customFormat="1">
      <c r="A39" s="3" t="s">
        <v>255</v>
      </c>
      <c r="B39" s="3" t="s">
        <v>256</v>
      </c>
      <c r="C39" s="3" t="s">
        <v>66</v>
      </c>
      <c r="D39" s="3" t="s">
        <v>66</v>
      </c>
      <c r="E39" s="3" t="s">
        <v>45</v>
      </c>
      <c r="F39" s="3" t="s">
        <v>67</v>
      </c>
      <c r="G39" s="5" t="s">
        <v>71</v>
      </c>
      <c r="H39" s="5">
        <v>200</v>
      </c>
      <c r="I39" s="5" t="s">
        <v>50</v>
      </c>
      <c r="J39" s="5" t="s">
        <v>50</v>
      </c>
      <c r="K39" s="3" t="s">
        <v>52</v>
      </c>
      <c r="L39" s="3" t="s">
        <v>72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2.9</v>
      </c>
    </row>
    <row r="40" spans="1:21" s="2" customFormat="1">
      <c r="A40" s="3" t="s">
        <v>257</v>
      </c>
      <c r="B40" s="3" t="s">
        <v>258</v>
      </c>
      <c r="C40" s="3" t="s">
        <v>66</v>
      </c>
      <c r="D40" s="3" t="s">
        <v>66</v>
      </c>
      <c r="E40" s="3" t="s">
        <v>45</v>
      </c>
      <c r="F40" s="3" t="s">
        <v>67</v>
      </c>
      <c r="G40" s="5" t="s">
        <v>71</v>
      </c>
      <c r="H40" s="5">
        <v>200</v>
      </c>
      <c r="I40" s="5" t="s">
        <v>50</v>
      </c>
      <c r="J40" s="5" t="s">
        <v>50</v>
      </c>
      <c r="K40" s="3" t="s">
        <v>52</v>
      </c>
      <c r="L40" s="3" t="s">
        <v>72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1.2</v>
      </c>
    </row>
    <row r="41" spans="1:21" s="2" customFormat="1">
      <c r="A41" s="3" t="s">
        <v>267</v>
      </c>
      <c r="B41" s="3" t="s">
        <v>268</v>
      </c>
      <c r="C41" s="3" t="s">
        <v>66</v>
      </c>
      <c r="D41" s="3" t="s">
        <v>66</v>
      </c>
      <c r="E41" s="3" t="s">
        <v>45</v>
      </c>
      <c r="F41" s="3" t="s">
        <v>67</v>
      </c>
      <c r="G41" s="5" t="s">
        <v>71</v>
      </c>
      <c r="H41" s="5">
        <v>20</v>
      </c>
      <c r="I41" s="5" t="s">
        <v>93</v>
      </c>
      <c r="J41" s="5" t="s">
        <v>93</v>
      </c>
      <c r="K41" s="3" t="s">
        <v>52</v>
      </c>
      <c r="L41" s="3" t="s">
        <v>72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9.5</v>
      </c>
    </row>
    <row r="42" spans="1:21" s="2" customFormat="1">
      <c r="A42" s="3" t="s">
        <v>278</v>
      </c>
      <c r="B42" s="3" t="s">
        <v>279</v>
      </c>
      <c r="C42" s="3" t="s">
        <v>66</v>
      </c>
      <c r="D42" s="3" t="s">
        <v>66</v>
      </c>
      <c r="E42" s="3" t="s">
        <v>45</v>
      </c>
      <c r="F42" s="3" t="s">
        <v>67</v>
      </c>
      <c r="G42" s="5" t="s">
        <v>71</v>
      </c>
      <c r="H42" s="5">
        <v>25</v>
      </c>
      <c r="I42" s="5" t="s">
        <v>93</v>
      </c>
      <c r="J42" s="5" t="s">
        <v>93</v>
      </c>
      <c r="K42" s="3" t="s">
        <v>52</v>
      </c>
      <c r="L42" s="3" t="s">
        <v>72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9.4500000000000001E-2</v>
      </c>
    </row>
    <row r="43" spans="1:21" s="2" customFormat="1">
      <c r="A43" s="3" t="s">
        <v>310</v>
      </c>
      <c r="B43" s="3" t="s">
        <v>312</v>
      </c>
      <c r="C43" s="3" t="s">
        <v>77</v>
      </c>
      <c r="D43" s="3" t="s">
        <v>78</v>
      </c>
      <c r="E43" s="3" t="s">
        <v>79</v>
      </c>
      <c r="F43" s="3" t="s">
        <v>79</v>
      </c>
      <c r="G43" s="5" t="s">
        <v>314</v>
      </c>
      <c r="H43" s="5"/>
      <c r="I43" s="5" t="s">
        <v>85</v>
      </c>
      <c r="J43" s="5" t="s">
        <v>85</v>
      </c>
      <c r="K43" s="3" t="s">
        <v>52</v>
      </c>
      <c r="L43" s="3">
        <v>200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317</v>
      </c>
      <c r="R43" s="3" t="s">
        <v>318</v>
      </c>
      <c r="S43" s="3" t="s">
        <v>47</v>
      </c>
      <c r="T43" s="3" t="s">
        <v>47</v>
      </c>
      <c r="U43" s="5">
        <v>0</v>
      </c>
    </row>
    <row r="44" spans="1:21" s="2" customFormat="1">
      <c r="A44" s="3" t="s">
        <v>311</v>
      </c>
      <c r="B44" s="3" t="s">
        <v>313</v>
      </c>
      <c r="C44" s="3" t="s">
        <v>77</v>
      </c>
      <c r="D44" s="3" t="s">
        <v>78</v>
      </c>
      <c r="E44" s="3" t="s">
        <v>79</v>
      </c>
      <c r="F44" s="3" t="s">
        <v>79</v>
      </c>
      <c r="G44" s="5" t="s">
        <v>314</v>
      </c>
      <c r="H44" s="5"/>
      <c r="I44" s="5" t="s">
        <v>85</v>
      </c>
      <c r="J44" s="5" t="s">
        <v>85</v>
      </c>
      <c r="K44" s="3" t="s">
        <v>52</v>
      </c>
      <c r="L44" s="3" t="s">
        <v>81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315</v>
      </c>
      <c r="R44" s="3" t="s">
        <v>316</v>
      </c>
      <c r="S44" s="3" t="s">
        <v>47</v>
      </c>
      <c r="T44" s="3" t="s">
        <v>47</v>
      </c>
      <c r="U44" s="5">
        <v>0</v>
      </c>
    </row>
    <row r="45" spans="1:21" s="2" customFormat="1" ht="15">
      <c r="A45" s="6" t="s">
        <v>302</v>
      </c>
      <c r="B45" s="7" t="s">
        <v>307</v>
      </c>
      <c r="C45" s="4" t="s">
        <v>66</v>
      </c>
      <c r="D45" s="4" t="s">
        <v>66</v>
      </c>
      <c r="E45" s="4" t="s">
        <v>45</v>
      </c>
      <c r="F45" s="4" t="s">
        <v>67</v>
      </c>
      <c r="G45" s="9" t="s">
        <v>71</v>
      </c>
      <c r="H45" s="5">
        <v>50</v>
      </c>
      <c r="I45" s="5" t="s">
        <v>93</v>
      </c>
      <c r="J45" s="5" t="s">
        <v>93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9" t="e">
        <f ca="1">_xll.AtlasFormulas.AtlasFunctions.AtlasBalance("QA",DataAreaId,"T.InventTableModule","Sum|Price|0","","","","","","","ItemId|ModuleType",$A45,"Invent")</f>
        <v>#NAME?</v>
      </c>
    </row>
    <row r="46" spans="1:21" s="2" customFormat="1" ht="15">
      <c r="A46" s="6" t="s">
        <v>303</v>
      </c>
      <c r="B46" s="7" t="s">
        <v>304</v>
      </c>
      <c r="C46" s="4" t="s">
        <v>66</v>
      </c>
      <c r="D46" s="4" t="s">
        <v>66</v>
      </c>
      <c r="E46" s="4" t="s">
        <v>45</v>
      </c>
      <c r="F46" s="4" t="s">
        <v>67</v>
      </c>
      <c r="G46" s="9" t="s">
        <v>308</v>
      </c>
      <c r="H46" s="5">
        <v>25</v>
      </c>
      <c r="I46" s="5" t="s">
        <v>309</v>
      </c>
      <c r="J46" s="5" t="s">
        <v>309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9" t="e">
        <f ca="1">_xll.AtlasFormulas.AtlasFunctions.AtlasBalance("QA",DataAreaId,"T.InventTableModule","Sum|Price|0","","","","","","","ItemId|ModuleType",$A46,"Invent")</f>
        <v>#NAME?</v>
      </c>
    </row>
    <row r="47" spans="1:21" s="2" customFormat="1" ht="15">
      <c r="A47" s="10" t="s">
        <v>305</v>
      </c>
      <c r="B47" s="11" t="s">
        <v>306</v>
      </c>
      <c r="C47" s="4" t="s">
        <v>66</v>
      </c>
      <c r="D47" s="4" t="s">
        <v>66</v>
      </c>
      <c r="E47" s="4" t="s">
        <v>45</v>
      </c>
      <c r="F47" s="4" t="s">
        <v>67</v>
      </c>
      <c r="G47" s="9" t="s">
        <v>308</v>
      </c>
      <c r="H47" s="9">
        <v>1</v>
      </c>
      <c r="I47" s="9" t="s">
        <v>308</v>
      </c>
      <c r="J47" s="9" t="s">
        <v>308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9" t="e">
        <f ca="1">_xll.AtlasFormulas.AtlasFunctions.AtlasBalance("QA",DataAreaId,"T.InventTableModule","Sum|Price|0","","","","","","","ItemId|ModuleType",$A47,"Invent")</f>
        <v>#NAME?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workbookViewId="0">
      <pane xSplit="2" ySplit="1" topLeftCell="C474" activePane="bottomRight" state="frozen"/>
      <selection pane="topRight" activeCell="C1" sqref="C1"/>
      <selection pane="bottomLeft" activeCell="A2" sqref="A2"/>
      <selection pane="bottomRight" activeCell="K491" sqref="K491"/>
    </sheetView>
  </sheetViews>
  <sheetFormatPr defaultRowHeight="14.25"/>
  <cols>
    <col min="2" max="2" width="8.875" bestFit="1" customWidth="1"/>
    <col min="3" max="3" width="23.625" customWidth="1"/>
    <col min="4" max="4" width="11" bestFit="1" customWidth="1"/>
    <col min="6" max="6" width="8.875" customWidth="1"/>
    <col min="7" max="7" width="14.375" customWidth="1"/>
    <col min="8" max="10" width="12.75" customWidth="1"/>
    <col min="11" max="11" width="13.25" customWidth="1"/>
    <col min="12" max="12" width="9.625" customWidth="1"/>
    <col min="13" max="13" width="0" hidden="1" customWidth="1"/>
    <col min="14" max="14" width="18.375" hidden="1" customWidth="1"/>
    <col min="16" max="16" width="0" hidden="1" customWidth="1"/>
  </cols>
  <sheetData>
    <row r="1" spans="1:27" ht="15" thickBot="1">
      <c r="A1" t="s">
        <v>361</v>
      </c>
      <c r="G1" t="s">
        <v>462</v>
      </c>
      <c r="H1" t="s">
        <v>422</v>
      </c>
      <c r="I1" t="s">
        <v>465</v>
      </c>
      <c r="J1" t="s">
        <v>638</v>
      </c>
      <c r="K1" t="s">
        <v>637</v>
      </c>
      <c r="L1" t="s">
        <v>463</v>
      </c>
      <c r="M1" t="s">
        <v>464</v>
      </c>
      <c r="O1" t="s">
        <v>571</v>
      </c>
      <c r="Q1" t="s">
        <v>500</v>
      </c>
      <c r="R1" t="s">
        <v>572</v>
      </c>
      <c r="V1" t="s">
        <v>601</v>
      </c>
    </row>
    <row r="2" spans="1:27" ht="16.5" thickBot="1">
      <c r="A2" t="str">
        <f>B2</f>
        <v>RE230F</v>
      </c>
      <c r="B2" s="20" t="s">
        <v>216</v>
      </c>
      <c r="C2" s="288" t="str">
        <f>VLOOKUP(A2,'All products'!A:B,2,0)</f>
        <v>ADHEPOX-SPFM (A+B 2KG)</v>
      </c>
      <c r="D2" s="288"/>
      <c r="E2" s="288"/>
      <c r="F2" s="289"/>
      <c r="G2" s="21">
        <v>1</v>
      </c>
      <c r="H2" s="21" t="str">
        <f>VLOOKUP(B2,'Full Item list'!A:B,2,0)</f>
        <v>RE230F</v>
      </c>
      <c r="I2" s="21">
        <f>VLOOKUP(H2,'Full Item list'!B:J,9,0)</f>
        <v>2</v>
      </c>
      <c r="J2" s="21"/>
      <c r="K2" s="21" t="str">
        <f>VLOOKUP(H2,'Full Item list'!B:O,14,0)</f>
        <v>PCS</v>
      </c>
      <c r="L2" s="21"/>
      <c r="M2">
        <f>O2/P2</f>
        <v>0</v>
      </c>
      <c r="N2" t="e">
        <f>VLOOKUP(B2,#REF!,9,0)</f>
        <v>#REF!</v>
      </c>
      <c r="O2">
        <f>IFERROR(VLOOKUP(H2,'Cost Price New'!#REF!,3,0),0)</f>
        <v>0</v>
      </c>
      <c r="P2">
        <v>2</v>
      </c>
      <c r="R2">
        <f ca="1">OFFSET(F2,MATCH("Total Cost:",E2:E52,0)-1,0,1,1)/G2</f>
        <v>34.182875180730619</v>
      </c>
      <c r="U2" t="str">
        <f>VLOOKUP(H2,'Full Item list'!B:D,3,0)</f>
        <v>Product</v>
      </c>
      <c r="X2" t="s">
        <v>606</v>
      </c>
      <c r="AA2">
        <f>IFERROR(VLOOKUP(A2,'Capacity of production'!A:C,3,0),"")</f>
        <v>34</v>
      </c>
    </row>
    <row r="3" spans="1:27" ht="15" thickBot="1">
      <c r="B3" s="23" t="s">
        <v>319</v>
      </c>
      <c r="C3" s="24" t="s">
        <v>320</v>
      </c>
      <c r="D3" s="25" t="s">
        <v>321</v>
      </c>
      <c r="E3" s="25" t="s">
        <v>322</v>
      </c>
      <c r="F3" s="26" t="s">
        <v>461</v>
      </c>
      <c r="G3" s="27"/>
      <c r="H3" s="27"/>
      <c r="I3" s="27"/>
      <c r="J3" s="27"/>
      <c r="K3" s="27"/>
      <c r="L3" s="27"/>
      <c r="O3">
        <f>IFERROR(VLOOKUP(H3,'Cost Price New'!#REF!,3,0),0)</f>
        <v>0</v>
      </c>
      <c r="AA3" t="str">
        <f>IFERROR(VLOOKUP(A3,'Capacity of production'!A:C,3,0),"")</f>
        <v/>
      </c>
    </row>
    <row r="4" spans="1:27" ht="15.75" thickBot="1">
      <c r="B4" s="28" t="s">
        <v>324</v>
      </c>
      <c r="C4" s="29" t="s">
        <v>221</v>
      </c>
      <c r="D4" s="30">
        <v>0.34100596760443308</v>
      </c>
      <c r="E4" s="31">
        <f>O4*D4</f>
        <v>1.2685421994884911</v>
      </c>
      <c r="F4" s="118"/>
      <c r="G4" s="32"/>
      <c r="H4" s="32" t="str">
        <f>VLOOKUP(B4,'Full Item list'!A:B,2,0)</f>
        <v>RE-290</v>
      </c>
      <c r="I4" s="32"/>
      <c r="J4" s="32" t="str">
        <f>K4</f>
        <v>KG</v>
      </c>
      <c r="K4" s="32" t="str">
        <f>VLOOKUP(H4,'Full Item list'!B:O,14,0)</f>
        <v>KG</v>
      </c>
      <c r="L4" s="32"/>
      <c r="M4">
        <f t="shared" ref="M4:M70" si="0">O4/P4</f>
        <v>1.6909090909090908E-2</v>
      </c>
      <c r="N4" t="e">
        <f>VLOOKUP(B4,#REF!,9,0)</f>
        <v>#REF!</v>
      </c>
      <c r="O4">
        <f>IFERROR(IF(J4="KG",VLOOKUP(H4,'Cost Price New'!D:E,2,0),VLOOKUP('BOMs setting'!H4,'Cost Price New'!D:I,6,0)),VLOOKUP(H4,A:R,18,0))</f>
        <v>3.72</v>
      </c>
      <c r="P4">
        <v>220</v>
      </c>
      <c r="Q4">
        <v>1</v>
      </c>
      <c r="V4" t="s">
        <v>603</v>
      </c>
      <c r="W4" s="135" t="s">
        <v>604</v>
      </c>
      <c r="AA4" t="str">
        <f>IFERROR(VLOOKUP(A4,'Capacity of production'!A:C,3,0),"")</f>
        <v/>
      </c>
    </row>
    <row r="5" spans="1:27" ht="15.75" thickBot="1">
      <c r="B5" s="33" t="s">
        <v>325</v>
      </c>
      <c r="C5" s="34" t="s">
        <v>223</v>
      </c>
      <c r="D5" s="35">
        <v>0.40920716112531969</v>
      </c>
      <c r="E5" s="31">
        <f t="shared" ref="E5:E15" si="1">O5*D5</f>
        <v>1.0843989769820972</v>
      </c>
      <c r="F5" s="119"/>
      <c r="G5" s="36"/>
      <c r="H5" s="36" t="str">
        <f>VLOOKUP(B5,'Full Item list'!A:B,2,0)</f>
        <v>RE-300</v>
      </c>
      <c r="I5" s="36"/>
      <c r="J5" s="32" t="str">
        <f t="shared" ref="J5:J15" si="2">K5</f>
        <v>KG</v>
      </c>
      <c r="K5" s="36" t="str">
        <f>VLOOKUP(H5,'Full Item list'!B:O,14,0)</f>
        <v>KG</v>
      </c>
      <c r="L5" s="36"/>
      <c r="M5">
        <f t="shared" si="0"/>
        <v>1.2045454545454545E-2</v>
      </c>
      <c r="N5" t="e">
        <f>VLOOKUP(B5,#REF!,9,0)</f>
        <v>#REF!</v>
      </c>
      <c r="O5">
        <f>IFERROR(IF(J5="KG",VLOOKUP(H5,'Cost Price New'!D:E,2,0),VLOOKUP('BOMs setting'!H5,'Cost Price New'!D:I,6,0)),VLOOKUP(H5,A:R,18,0))</f>
        <v>2.65</v>
      </c>
      <c r="P5">
        <v>220</v>
      </c>
      <c r="Q5">
        <v>1</v>
      </c>
      <c r="V5" t="s">
        <v>603</v>
      </c>
      <c r="W5" s="135" t="s">
        <v>604</v>
      </c>
      <c r="AA5" t="str">
        <f>IFERROR(VLOOKUP(A5,'Capacity of production'!A:C,3,0),"")</f>
        <v/>
      </c>
    </row>
    <row r="6" spans="1:27" ht="15.75" thickBot="1">
      <c r="B6" s="33" t="s">
        <v>326</v>
      </c>
      <c r="C6" s="34" t="s">
        <v>238</v>
      </c>
      <c r="D6" s="35">
        <v>5.9676044330775786E-3</v>
      </c>
      <c r="E6" s="31">
        <f t="shared" si="1"/>
        <v>3.6163682864450125E-2</v>
      </c>
      <c r="F6" s="119"/>
      <c r="G6" s="36"/>
      <c r="H6" s="36" t="str">
        <f>VLOOKUP(B6,'Full Item list'!A:B,2,0)</f>
        <v>SF-160</v>
      </c>
      <c r="I6" s="36"/>
      <c r="J6" s="32" t="str">
        <f t="shared" si="2"/>
        <v>KG</v>
      </c>
      <c r="K6" s="36" t="str">
        <f>VLOOKUP(H6,'Full Item list'!B:O,14,0)</f>
        <v>KG</v>
      </c>
      <c r="L6" s="36"/>
      <c r="M6">
        <f t="shared" si="0"/>
        <v>0.24239999999999998</v>
      </c>
      <c r="N6" t="e">
        <f>VLOOKUP(B6,#REF!,9,0)</f>
        <v>#REF!</v>
      </c>
      <c r="O6">
        <f>IFERROR(IF(J6="KG",VLOOKUP(H6,'Cost Price New'!D:E,2,0),VLOOKUP('BOMs setting'!H6,'Cost Price New'!D:I,6,0)),VLOOKUP(H6,A:R,18,0))</f>
        <v>6.06</v>
      </c>
      <c r="P6">
        <v>25</v>
      </c>
      <c r="Q6">
        <v>1</v>
      </c>
      <c r="V6" t="s">
        <v>603</v>
      </c>
      <c r="W6" s="135" t="s">
        <v>604</v>
      </c>
      <c r="AA6" t="str">
        <f>IFERROR(VLOOKUP(A6,'Capacity of production'!A:C,3,0),"")</f>
        <v/>
      </c>
    </row>
    <row r="7" spans="1:27" ht="15.75" thickBot="1">
      <c r="B7" s="33" t="s">
        <v>327</v>
      </c>
      <c r="C7" s="34" t="s">
        <v>65</v>
      </c>
      <c r="D7" s="35">
        <v>1.7050298380221654E-3</v>
      </c>
      <c r="E7" s="31">
        <f t="shared" si="1"/>
        <v>1.5890878090366583E-2</v>
      </c>
      <c r="F7" s="119"/>
      <c r="G7" s="36"/>
      <c r="H7" s="36" t="str">
        <f>VLOOKUP(B7,'Full Item list'!A:B,2,0)</f>
        <v>AD-320</v>
      </c>
      <c r="I7" s="36"/>
      <c r="J7" s="32" t="str">
        <f t="shared" si="2"/>
        <v>KG</v>
      </c>
      <c r="K7" s="36" t="str">
        <f>VLOOKUP(H7,'Full Item list'!B:O,14,0)</f>
        <v>KG</v>
      </c>
      <c r="L7" s="36"/>
      <c r="M7">
        <f t="shared" si="0"/>
        <v>0.37280000000000002</v>
      </c>
      <c r="N7" t="e">
        <f>VLOOKUP(B7,#REF!,9,0)</f>
        <v>#REF!</v>
      </c>
      <c r="O7">
        <f>IFERROR(IF(J7="KG",VLOOKUP(H7,'Cost Price New'!D:E,2,0),VLOOKUP('BOMs setting'!H7,'Cost Price New'!D:I,6,0)),VLOOKUP(H7,A:R,18,0))</f>
        <v>9.32</v>
      </c>
      <c r="P7">
        <v>25</v>
      </c>
      <c r="Q7">
        <v>1</v>
      </c>
      <c r="V7" t="s">
        <v>603</v>
      </c>
      <c r="W7" s="135" t="s">
        <v>604</v>
      </c>
      <c r="AA7" t="str">
        <f>IFERROR(VLOOKUP(A7,'Capacity of production'!A:C,3,0),"")</f>
        <v/>
      </c>
    </row>
    <row r="8" spans="1:27" ht="15.75" thickBot="1">
      <c r="B8" s="33" t="s">
        <v>328</v>
      </c>
      <c r="C8" s="34" t="s">
        <v>235</v>
      </c>
      <c r="D8" s="35">
        <v>5.9676044330775786E-3</v>
      </c>
      <c r="E8" s="31">
        <f t="shared" si="1"/>
        <v>4.8218243819266836E-2</v>
      </c>
      <c r="F8" s="119"/>
      <c r="G8" s="36"/>
      <c r="H8" s="36" t="str">
        <f>VLOOKUP(B8,'Full Item list'!A:B,2,0)</f>
        <v>SF-150</v>
      </c>
      <c r="I8" s="36"/>
      <c r="J8" s="32" t="str">
        <f t="shared" si="2"/>
        <v>KG</v>
      </c>
      <c r="K8" s="36" t="str">
        <f>VLOOKUP(H8,'Full Item list'!B:O,14,0)</f>
        <v>KG</v>
      </c>
      <c r="L8" s="36"/>
      <c r="M8">
        <f t="shared" si="0"/>
        <v>0.32319999999999999</v>
      </c>
      <c r="N8" t="e">
        <f>VLOOKUP(B8,#REF!,9,0)</f>
        <v>#REF!</v>
      </c>
      <c r="O8">
        <f>IFERROR(IF(J8="KG",VLOOKUP(H8,'Cost Price New'!D:E,2,0),VLOOKUP('BOMs setting'!H8,'Cost Price New'!D:I,6,0)),VLOOKUP(H8,A:R,18,0))</f>
        <v>8.08</v>
      </c>
      <c r="P8">
        <v>25</v>
      </c>
      <c r="Q8">
        <v>1</v>
      </c>
      <c r="V8" t="s">
        <v>603</v>
      </c>
      <c r="W8" s="135" t="s">
        <v>604</v>
      </c>
      <c r="AA8" t="str">
        <f>IFERROR(VLOOKUP(A8,'Capacity of production'!A:C,3,0),"")</f>
        <v/>
      </c>
    </row>
    <row r="9" spans="1:27" ht="15.75" thickBot="1">
      <c r="B9" s="33" t="s">
        <v>329</v>
      </c>
      <c r="C9" s="34" t="s">
        <v>194</v>
      </c>
      <c r="D9" s="35">
        <v>1.0571184995737424E-2</v>
      </c>
      <c r="E9" s="31">
        <f t="shared" si="1"/>
        <v>3.0973572037510652E-2</v>
      </c>
      <c r="F9" s="119"/>
      <c r="G9" s="36"/>
      <c r="H9" s="36" t="str">
        <f>VLOOKUP(B9,'Full Item list'!A:B,2,0)</f>
        <v>PG-470</v>
      </c>
      <c r="I9" s="36"/>
      <c r="J9" s="32" t="str">
        <f t="shared" si="2"/>
        <v>KG</v>
      </c>
      <c r="K9" s="36" t="str">
        <f>VLOOKUP(H9,'Full Item list'!B:O,14,0)</f>
        <v>KG</v>
      </c>
      <c r="L9" s="36"/>
      <c r="M9">
        <f t="shared" si="0"/>
        <v>0.11720000000000001</v>
      </c>
      <c r="N9" t="e">
        <f>VLOOKUP(B9,#REF!,9,0)</f>
        <v>#REF!</v>
      </c>
      <c r="O9">
        <f>IFERROR(IF(J9="KG",VLOOKUP(H9,'Cost Price New'!D:E,2,0),VLOOKUP('BOMs setting'!H9,'Cost Price New'!D:I,6,0)),VLOOKUP(H9,A:R,18,0))</f>
        <v>2.93</v>
      </c>
      <c r="P9">
        <v>25</v>
      </c>
      <c r="Q9">
        <v>1</v>
      </c>
      <c r="V9" t="s">
        <v>603</v>
      </c>
      <c r="W9" s="135" t="s">
        <v>604</v>
      </c>
      <c r="AA9" t="str">
        <f>IFERROR(VLOOKUP(A9,'Capacity of production'!A:C,3,0),"")</f>
        <v/>
      </c>
    </row>
    <row r="10" spans="1:27" ht="15.75" thickBot="1">
      <c r="B10" s="33" t="s">
        <v>330</v>
      </c>
      <c r="C10" s="34" t="s">
        <v>192</v>
      </c>
      <c r="D10" s="35">
        <v>0.10878090366581414</v>
      </c>
      <c r="E10" s="31">
        <f t="shared" si="1"/>
        <v>0.68531969309462903</v>
      </c>
      <c r="F10" s="120"/>
      <c r="G10" s="37"/>
      <c r="H10" s="37" t="str">
        <f>VLOOKUP(B10,'Full Item list'!A:B,2,0)</f>
        <v>PG-461</v>
      </c>
      <c r="I10" s="37"/>
      <c r="J10" s="32" t="str">
        <f t="shared" si="2"/>
        <v>KG</v>
      </c>
      <c r="K10" s="37" t="str">
        <f>VLOOKUP(H10,'Full Item list'!B:O,14,0)</f>
        <v>KG</v>
      </c>
      <c r="L10" s="37"/>
      <c r="M10">
        <f t="shared" si="0"/>
        <v>0.252</v>
      </c>
      <c r="N10" t="e">
        <f>VLOOKUP(B10,#REF!,9,0)</f>
        <v>#REF!</v>
      </c>
      <c r="O10">
        <f>IFERROR(IF(J10="KG",VLOOKUP(H10,'Cost Price New'!D:E,2,0),VLOOKUP('BOMs setting'!H10,'Cost Price New'!D:I,6,0)),VLOOKUP(H10,A:R,18,0))</f>
        <v>6.3</v>
      </c>
      <c r="P10">
        <v>25</v>
      </c>
      <c r="Q10">
        <v>1</v>
      </c>
      <c r="V10" t="s">
        <v>603</v>
      </c>
      <c r="W10" s="135" t="s">
        <v>604</v>
      </c>
      <c r="AA10" t="str">
        <f>IFERROR(VLOOKUP(A10,'Capacity of production'!A:C,3,0),"")</f>
        <v/>
      </c>
    </row>
    <row r="11" spans="1:27" ht="15.75" thickBot="1">
      <c r="B11" s="33" t="s">
        <v>331</v>
      </c>
      <c r="C11" s="34" t="s">
        <v>332</v>
      </c>
      <c r="D11" s="35">
        <v>0.32395566922421143</v>
      </c>
      <c r="E11" s="31">
        <f t="shared" si="1"/>
        <v>3.061381074168798E-2</v>
      </c>
      <c r="F11" s="120"/>
      <c r="G11" s="37"/>
      <c r="H11" s="37" t="str">
        <f>VLOOKUP(B11,'Full Item list'!A:B,2,0)</f>
        <v>TS-440</v>
      </c>
      <c r="I11" s="37"/>
      <c r="J11" s="32" t="str">
        <f t="shared" si="2"/>
        <v>KG</v>
      </c>
      <c r="K11" s="37" t="str">
        <f>VLOOKUP(H11,'Full Item list'!B:O,14,0)</f>
        <v>KG</v>
      </c>
      <c r="L11" s="37"/>
      <c r="M11">
        <f t="shared" si="0"/>
        <v>3.7799999999999999E-3</v>
      </c>
      <c r="N11" t="e">
        <f>VLOOKUP(B11,#REF!,9,0)</f>
        <v>#REF!</v>
      </c>
      <c r="O11">
        <f>IFERROR(IF(J11="KG",VLOOKUP(H11,'Cost Price New'!D:E,2,0),VLOOKUP('BOMs setting'!H11,'Cost Price New'!D:I,6,0)),VLOOKUP(H11,A:R,18,0))</f>
        <v>9.4500000000000001E-2</v>
      </c>
      <c r="P11">
        <v>25</v>
      </c>
      <c r="Q11">
        <v>1</v>
      </c>
      <c r="V11" t="s">
        <v>603</v>
      </c>
      <c r="W11" s="135" t="s">
        <v>604</v>
      </c>
      <c r="AA11" t="str">
        <f>IFERROR(VLOOKUP(A11,'Capacity of production'!A:C,3,0),"")</f>
        <v/>
      </c>
    </row>
    <row r="12" spans="1:27" ht="15.75" thickBot="1">
      <c r="B12" s="33" t="s">
        <v>333</v>
      </c>
      <c r="C12" s="34" t="s">
        <v>127</v>
      </c>
      <c r="D12" s="35">
        <v>0.42625745950554134</v>
      </c>
      <c r="E12" s="31">
        <f t="shared" si="1"/>
        <v>0.19266837169650469</v>
      </c>
      <c r="F12" s="120"/>
      <c r="G12" s="37"/>
      <c r="H12" s="37" t="str">
        <f>VLOOKUP(B12,'Full Item list'!A:B,2,0)</f>
        <v>FT-680</v>
      </c>
      <c r="I12" s="37"/>
      <c r="J12" s="32" t="str">
        <f t="shared" si="2"/>
        <v>KG</v>
      </c>
      <c r="K12" s="37" t="str">
        <f>VLOOKUP(H12,'Full Item list'!B:O,14,0)</f>
        <v>KG</v>
      </c>
      <c r="L12" s="37"/>
      <c r="M12">
        <f t="shared" si="0"/>
        <v>1.8079999999999999E-2</v>
      </c>
      <c r="N12" t="e">
        <f>VLOOKUP(B12,#REF!,9,0)</f>
        <v>#REF!</v>
      </c>
      <c r="O12">
        <f>IFERROR(IF(J12="KG",VLOOKUP(H12,'Cost Price New'!D:E,2,0),VLOOKUP('BOMs setting'!H12,'Cost Price New'!D:I,6,0)),VLOOKUP(H12,A:R,18,0))</f>
        <v>0.45200000000000001</v>
      </c>
      <c r="P12">
        <v>25</v>
      </c>
      <c r="Q12">
        <v>1</v>
      </c>
      <c r="V12" t="s">
        <v>603</v>
      </c>
      <c r="W12" s="135" t="s">
        <v>604</v>
      </c>
      <c r="AA12" t="str">
        <f>IFERROR(VLOOKUP(A12,'Capacity of production'!A:C,3,0),"")</f>
        <v/>
      </c>
    </row>
    <row r="13" spans="1:27" ht="15.75" thickBot="1">
      <c r="B13" s="33" t="s">
        <v>334</v>
      </c>
      <c r="C13" s="34" t="s">
        <v>129</v>
      </c>
      <c r="D13" s="35">
        <v>2.557544757033248E-2</v>
      </c>
      <c r="E13" s="31">
        <f t="shared" si="1"/>
        <v>0.20562659846547313</v>
      </c>
      <c r="F13" s="120"/>
      <c r="G13" s="37"/>
      <c r="H13" s="37" t="str">
        <f>VLOOKUP(B13,'Full Item list'!A:B,2,0)</f>
        <v>FT-690</v>
      </c>
      <c r="I13" s="37"/>
      <c r="J13" s="32" t="str">
        <f t="shared" si="2"/>
        <v>KG</v>
      </c>
      <c r="K13" s="37" t="str">
        <f>VLOOKUP(H13,'Full Item list'!B:O,14,0)</f>
        <v>KG</v>
      </c>
      <c r="L13" s="37"/>
      <c r="M13">
        <f t="shared" si="0"/>
        <v>0.80399999999999994</v>
      </c>
      <c r="N13" t="e">
        <f>VLOOKUP(B13,#REF!,9,0)</f>
        <v>#REF!</v>
      </c>
      <c r="O13">
        <f>IFERROR(IF(J13="KG",VLOOKUP(H13,'Cost Price New'!D:E,2,0),VLOOKUP('BOMs setting'!H13,'Cost Price New'!D:I,6,0)),VLOOKUP(H13,A:R,18,0))</f>
        <v>8.0399999999999991</v>
      </c>
      <c r="P13">
        <v>10</v>
      </c>
      <c r="Q13">
        <v>1</v>
      </c>
      <c r="V13" t="s">
        <v>603</v>
      </c>
      <c r="W13" s="135" t="s">
        <v>604</v>
      </c>
      <c r="AA13" t="str">
        <f>IFERROR(VLOOKUP(A13,'Capacity of production'!A:C,3,0),"")</f>
        <v/>
      </c>
    </row>
    <row r="14" spans="1:27" ht="15.75" thickBot="1">
      <c r="B14" s="33" t="s">
        <v>335</v>
      </c>
      <c r="C14" s="34" t="s">
        <v>103</v>
      </c>
      <c r="D14" s="35">
        <v>0.34100596760443308</v>
      </c>
      <c r="E14" s="31">
        <f t="shared" si="1"/>
        <v>1.6982097186700769</v>
      </c>
      <c r="F14" s="120"/>
      <c r="G14" s="32"/>
      <c r="H14" s="32" t="str">
        <f>VLOOKUP(B14,'Full Item list'!A:B,2,0)</f>
        <v>CT-670</v>
      </c>
      <c r="I14" s="32"/>
      <c r="J14" s="32" t="str">
        <f t="shared" si="2"/>
        <v>KG</v>
      </c>
      <c r="K14" s="32" t="str">
        <f>VLOOKUP(H14,'Full Item list'!B:O,14,0)</f>
        <v>KG</v>
      </c>
      <c r="L14" s="32"/>
      <c r="M14">
        <f t="shared" si="0"/>
        <v>2.3714285714285716E-2</v>
      </c>
      <c r="N14" t="e">
        <f>VLOOKUP(B14,#REF!,9,0)</f>
        <v>#REF!</v>
      </c>
      <c r="O14">
        <f>IFERROR(IF(J14="KG",VLOOKUP(H14,'Cost Price New'!D:E,2,0),VLOOKUP('BOMs setting'!H14,'Cost Price New'!D:I,6,0)),VLOOKUP(H14,A:R,18,0))</f>
        <v>4.9800000000000004</v>
      </c>
      <c r="P14">
        <v>210</v>
      </c>
      <c r="Q14">
        <v>1</v>
      </c>
      <c r="V14" t="s">
        <v>603</v>
      </c>
      <c r="W14" s="135" t="s">
        <v>604</v>
      </c>
      <c r="AA14" t="str">
        <f>IFERROR(VLOOKUP(A14,'Capacity of production'!A:C,3,0),"")</f>
        <v/>
      </c>
    </row>
    <row r="15" spans="1:27" ht="15.75" thickBot="1">
      <c r="B15" s="41" t="s">
        <v>311</v>
      </c>
      <c r="C15" s="42" t="s">
        <v>313</v>
      </c>
      <c r="D15" s="284">
        <f>I2/AA2</f>
        <v>5.8823529411764705E-2</v>
      </c>
      <c r="E15" s="31">
        <f t="shared" si="1"/>
        <v>28.886249434780062</v>
      </c>
      <c r="F15" s="45" t="s">
        <v>782</v>
      </c>
      <c r="G15" s="32"/>
      <c r="H15" s="32" t="str">
        <f>VLOOKUP(B15,'Full Item list'!A:B,2,0)</f>
        <v>LAB/OH-Resin</v>
      </c>
      <c r="I15" s="32"/>
      <c r="J15" s="32" t="str">
        <f t="shared" si="2"/>
        <v>H</v>
      </c>
      <c r="K15" s="32" t="str">
        <f>VLOOKUP(H15,'Full Item list'!B:O,14,0)</f>
        <v>H</v>
      </c>
      <c r="L15" s="32"/>
      <c r="O15">
        <f>IFERROR(IF(J15="KG",VLOOKUP(H15,'Cost Price New'!D:E,2,0),VLOOKUP('BOMs setting'!H15,'Cost Price New'!D:I,6,0)),VLOOKUP(H15,A:R,18,0))</f>
        <v>491.06624039126103</v>
      </c>
      <c r="V15" t="s">
        <v>603</v>
      </c>
      <c r="W15" s="135" t="s">
        <v>604</v>
      </c>
      <c r="AA15" t="str">
        <f>IFERROR(VLOOKUP(A15,'Capacity of production'!A:C,3,0),"")</f>
        <v/>
      </c>
    </row>
    <row r="16" spans="1:27" ht="15">
      <c r="B16" s="54"/>
      <c r="C16" s="55"/>
      <c r="D16" s="56"/>
      <c r="E16" s="56" t="s">
        <v>466</v>
      </c>
      <c r="F16" s="56">
        <f>SUM(E4:E15)</f>
        <v>34.182875180730619</v>
      </c>
      <c r="G16" s="55"/>
      <c r="H16" s="55"/>
      <c r="I16" s="55"/>
      <c r="J16" s="55"/>
      <c r="K16" s="55"/>
      <c r="L16" s="55"/>
      <c r="V16" t="s">
        <v>603</v>
      </c>
      <c r="W16" s="135" t="s">
        <v>604</v>
      </c>
      <c r="AA16" t="str">
        <f>IFERROR(VLOOKUP(A16,'Capacity of production'!A:C,3,0),"")</f>
        <v/>
      </c>
    </row>
    <row r="17" spans="1:27" ht="15.75" thickBot="1">
      <c r="B17" s="54"/>
      <c r="C17" s="55"/>
      <c r="D17" s="56"/>
      <c r="E17" s="56"/>
      <c r="F17" s="55"/>
      <c r="G17" s="55"/>
      <c r="H17" s="55"/>
      <c r="I17" s="55"/>
      <c r="J17" s="55"/>
      <c r="K17" s="55"/>
      <c r="L17" s="55"/>
      <c r="V17" t="s">
        <v>603</v>
      </c>
      <c r="W17" s="135" t="s">
        <v>604</v>
      </c>
      <c r="AA17" t="str">
        <f>IFERROR(VLOOKUP(A17,'Capacity of production'!A:C,3,0),"")</f>
        <v/>
      </c>
    </row>
    <row r="18" spans="1:27" ht="16.5" thickBot="1">
      <c r="A18" s="103" t="s">
        <v>217</v>
      </c>
      <c r="B18" s="20" t="s">
        <v>217</v>
      </c>
      <c r="C18" s="288" t="str">
        <f>VLOOKUP(A18,'All products'!A:B,2,0)</f>
        <v>ADHEPOX-SPFM (A+B 5KG)</v>
      </c>
      <c r="D18" s="288"/>
      <c r="E18" s="288"/>
      <c r="F18" s="289"/>
      <c r="G18" s="21">
        <v>1</v>
      </c>
      <c r="H18" s="21" t="str">
        <f>VLOOKUP(B18,'Full Item list'!A:B,2,0)</f>
        <v>RE231F</v>
      </c>
      <c r="I18" s="21">
        <f>VLOOKUP(H18,'Full Item list'!B:J,9,0)</f>
        <v>5</v>
      </c>
      <c r="J18" s="21"/>
      <c r="K18" s="21" t="str">
        <f>VLOOKUP(H18,'Full Item list'!B:O,14,0)</f>
        <v>PCS</v>
      </c>
      <c r="L18" s="21"/>
      <c r="M18">
        <f t="shared" si="0"/>
        <v>0</v>
      </c>
      <c r="N18" t="e">
        <f>VLOOKUP(B18,#REF!,9,0)</f>
        <v>#REF!</v>
      </c>
      <c r="P18">
        <v>5</v>
      </c>
      <c r="R18">
        <f ca="1">OFFSET(F18,MATCH("Total Cost:",E18:E68,0)-1,0,1,1)/G18</f>
        <v>74.624844413784018</v>
      </c>
      <c r="U18" t="str">
        <f>VLOOKUP(H18,'Full Item list'!B:D,3,0)</f>
        <v>Product</v>
      </c>
      <c r="V18" t="s">
        <v>603</v>
      </c>
      <c r="W18" s="135" t="s">
        <v>604</v>
      </c>
      <c r="X18" t="s">
        <v>606</v>
      </c>
      <c r="AA18">
        <f>IFERROR(VLOOKUP(A18,'Capacity of production'!A:C,3,0),"")</f>
        <v>40</v>
      </c>
    </row>
    <row r="19" spans="1:27" ht="15" thickBot="1">
      <c r="B19" s="23" t="s">
        <v>319</v>
      </c>
      <c r="C19" s="24" t="s">
        <v>320</v>
      </c>
      <c r="D19" s="25" t="s">
        <v>321</v>
      </c>
      <c r="E19" s="25" t="s">
        <v>322</v>
      </c>
      <c r="F19" s="26" t="s">
        <v>461</v>
      </c>
      <c r="G19" s="27"/>
      <c r="H19" s="27"/>
      <c r="I19" s="27"/>
      <c r="J19" s="27"/>
      <c r="K19" s="27"/>
      <c r="L19" s="27"/>
      <c r="V19" t="s">
        <v>603</v>
      </c>
      <c r="W19" s="135" t="s">
        <v>604</v>
      </c>
      <c r="AA19" t="str">
        <f>IFERROR(VLOOKUP(A19,'Capacity of production'!A:C,3,0),"")</f>
        <v/>
      </c>
    </row>
    <row r="20" spans="1:27" ht="15.75" thickBot="1">
      <c r="B20" s="28" t="s">
        <v>324</v>
      </c>
      <c r="C20" s="29" t="s">
        <v>221</v>
      </c>
      <c r="D20" s="30">
        <v>0.85251491901108267</v>
      </c>
      <c r="E20" s="31">
        <f t="shared" ref="E20:E31" si="3">O20*D20</f>
        <v>3.1713554987212276</v>
      </c>
      <c r="F20" s="118"/>
      <c r="G20" s="32"/>
      <c r="H20" s="32" t="str">
        <f>VLOOKUP(B20,'Full Item list'!A:B,2,0)</f>
        <v>RE-290</v>
      </c>
      <c r="I20" s="32"/>
      <c r="J20" s="32" t="str">
        <f t="shared" ref="J20:J31" si="4">K20</f>
        <v>KG</v>
      </c>
      <c r="K20" s="32" t="str">
        <f>VLOOKUP(H20,'Full Item list'!B:O,14,0)</f>
        <v>KG</v>
      </c>
      <c r="L20" s="32"/>
      <c r="M20">
        <f t="shared" si="0"/>
        <v>1.6909090909090908E-2</v>
      </c>
      <c r="N20" t="e">
        <f>VLOOKUP(B20,#REF!,9,0)</f>
        <v>#REF!</v>
      </c>
      <c r="O20">
        <f>IFERROR(IF(J20="KG",VLOOKUP(H20,'Cost Price New'!D:E,2,0),VLOOKUP('BOMs setting'!H20,'Cost Price New'!D:I,6,0)),VLOOKUP(H20,A:R,18,0))</f>
        <v>3.72</v>
      </c>
      <c r="P20">
        <v>220</v>
      </c>
      <c r="Q20">
        <v>1</v>
      </c>
      <c r="V20" t="s">
        <v>603</v>
      </c>
      <c r="W20" s="135" t="s">
        <v>604</v>
      </c>
      <c r="AA20" t="str">
        <f>IFERROR(VLOOKUP(A20,'Capacity of production'!A:C,3,0),"")</f>
        <v/>
      </c>
    </row>
    <row r="21" spans="1:27" ht="15.75" thickBot="1">
      <c r="B21" s="33" t="s">
        <v>325</v>
      </c>
      <c r="C21" s="34" t="s">
        <v>223</v>
      </c>
      <c r="D21" s="35">
        <v>1.0230179028132993</v>
      </c>
      <c r="E21" s="31">
        <f t="shared" si="3"/>
        <v>2.710997442455243</v>
      </c>
      <c r="F21" s="119"/>
      <c r="G21" s="36"/>
      <c r="H21" s="36" t="str">
        <f>VLOOKUP(B21,'Full Item list'!A:B,2,0)</f>
        <v>RE-300</v>
      </c>
      <c r="I21" s="36"/>
      <c r="J21" s="32" t="str">
        <f t="shared" si="4"/>
        <v>KG</v>
      </c>
      <c r="K21" s="36" t="str">
        <f>VLOOKUP(H21,'Full Item list'!B:O,14,0)</f>
        <v>KG</v>
      </c>
      <c r="L21" s="36"/>
      <c r="M21">
        <f t="shared" si="0"/>
        <v>1.2045454545454545E-2</v>
      </c>
      <c r="N21" t="e">
        <f>VLOOKUP(B21,#REF!,9,0)</f>
        <v>#REF!</v>
      </c>
      <c r="O21">
        <f>IFERROR(IF(J21="KG",VLOOKUP(H21,'Cost Price New'!D:E,2,0),VLOOKUP('BOMs setting'!H21,'Cost Price New'!D:I,6,0)),VLOOKUP(H21,A:R,18,0))</f>
        <v>2.65</v>
      </c>
      <c r="P21">
        <v>220</v>
      </c>
      <c r="Q21">
        <v>1</v>
      </c>
      <c r="V21" t="s">
        <v>603</v>
      </c>
      <c r="W21" s="135" t="s">
        <v>604</v>
      </c>
      <c r="AA21" t="str">
        <f>IFERROR(VLOOKUP(A21,'Capacity of production'!A:C,3,0),"")</f>
        <v/>
      </c>
    </row>
    <row r="22" spans="1:27" ht="15.75" thickBot="1">
      <c r="B22" s="33" t="s">
        <v>326</v>
      </c>
      <c r="C22" s="34" t="s">
        <v>238</v>
      </c>
      <c r="D22" s="35">
        <v>1.4919011082693947E-2</v>
      </c>
      <c r="E22" s="31">
        <f t="shared" si="3"/>
        <v>9.0409207161125313E-2</v>
      </c>
      <c r="F22" s="119"/>
      <c r="G22" s="36"/>
      <c r="H22" s="36" t="str">
        <f>VLOOKUP(B22,'Full Item list'!A:B,2,0)</f>
        <v>SF-160</v>
      </c>
      <c r="I22" s="36"/>
      <c r="J22" s="32" t="str">
        <f t="shared" si="4"/>
        <v>KG</v>
      </c>
      <c r="K22" s="36" t="str">
        <f>VLOOKUP(H22,'Full Item list'!B:O,14,0)</f>
        <v>KG</v>
      </c>
      <c r="L22" s="36"/>
      <c r="M22">
        <f t="shared" si="0"/>
        <v>0.24239999999999998</v>
      </c>
      <c r="N22" t="e">
        <f>VLOOKUP(B22,#REF!,9,0)</f>
        <v>#REF!</v>
      </c>
      <c r="O22">
        <f>IFERROR(IF(J22="KG",VLOOKUP(H22,'Cost Price New'!D:E,2,0),VLOOKUP('BOMs setting'!H22,'Cost Price New'!D:I,6,0)),VLOOKUP(H22,A:R,18,0))</f>
        <v>6.06</v>
      </c>
      <c r="P22">
        <v>25</v>
      </c>
      <c r="Q22">
        <v>1</v>
      </c>
      <c r="V22" t="s">
        <v>603</v>
      </c>
      <c r="W22" s="135" t="s">
        <v>604</v>
      </c>
      <c r="AA22" t="str">
        <f>IFERROR(VLOOKUP(A22,'Capacity of production'!A:C,3,0),"")</f>
        <v/>
      </c>
    </row>
    <row r="23" spans="1:27" ht="15.75" thickBot="1">
      <c r="B23" s="33" t="s">
        <v>327</v>
      </c>
      <c r="C23" s="34" t="s">
        <v>65</v>
      </c>
      <c r="D23" s="35">
        <v>4.2625745950554137E-3</v>
      </c>
      <c r="E23" s="31">
        <f t="shared" si="3"/>
        <v>3.9727195225916459E-2</v>
      </c>
      <c r="F23" s="119"/>
      <c r="G23" s="36"/>
      <c r="H23" s="36" t="str">
        <f>VLOOKUP(B23,'Full Item list'!A:B,2,0)</f>
        <v>AD-320</v>
      </c>
      <c r="I23" s="36"/>
      <c r="J23" s="32" t="str">
        <f t="shared" si="4"/>
        <v>KG</v>
      </c>
      <c r="K23" s="36" t="str">
        <f>VLOOKUP(H23,'Full Item list'!B:O,14,0)</f>
        <v>KG</v>
      </c>
      <c r="L23" s="36"/>
      <c r="M23">
        <f t="shared" si="0"/>
        <v>0.37280000000000002</v>
      </c>
      <c r="N23" t="e">
        <f>VLOOKUP(B23,#REF!,9,0)</f>
        <v>#REF!</v>
      </c>
      <c r="O23">
        <f>IFERROR(IF(J23="KG",VLOOKUP(H23,'Cost Price New'!D:E,2,0),VLOOKUP('BOMs setting'!H23,'Cost Price New'!D:I,6,0)),VLOOKUP(H23,A:R,18,0))</f>
        <v>9.32</v>
      </c>
      <c r="P23">
        <v>25</v>
      </c>
      <c r="Q23">
        <v>1</v>
      </c>
      <c r="V23" t="s">
        <v>603</v>
      </c>
      <c r="W23" s="135" t="s">
        <v>604</v>
      </c>
      <c r="AA23" t="str">
        <f>IFERROR(VLOOKUP(A23,'Capacity of production'!A:C,3,0),"")</f>
        <v/>
      </c>
    </row>
    <row r="24" spans="1:27" ht="15.75" thickBot="1">
      <c r="B24" s="33" t="s">
        <v>328</v>
      </c>
      <c r="C24" s="34" t="s">
        <v>235</v>
      </c>
      <c r="D24" s="35">
        <v>1.4919011082693947E-2</v>
      </c>
      <c r="E24" s="31">
        <f t="shared" si="3"/>
        <v>0.12054560954816709</v>
      </c>
      <c r="F24" s="119"/>
      <c r="G24" s="36"/>
      <c r="H24" s="36" t="str">
        <f>VLOOKUP(B24,'Full Item list'!A:B,2,0)</f>
        <v>SF-150</v>
      </c>
      <c r="I24" s="36"/>
      <c r="J24" s="32" t="str">
        <f t="shared" si="4"/>
        <v>KG</v>
      </c>
      <c r="K24" s="36" t="str">
        <f>VLOOKUP(H24,'Full Item list'!B:O,14,0)</f>
        <v>KG</v>
      </c>
      <c r="L24" s="36"/>
      <c r="M24">
        <f t="shared" si="0"/>
        <v>0.32319999999999999</v>
      </c>
      <c r="N24" t="e">
        <f>VLOOKUP(B24,#REF!,9,0)</f>
        <v>#REF!</v>
      </c>
      <c r="O24">
        <f>IFERROR(IF(J24="KG",VLOOKUP(H24,'Cost Price New'!D:E,2,0),VLOOKUP('BOMs setting'!H24,'Cost Price New'!D:I,6,0)),VLOOKUP(H24,A:R,18,0))</f>
        <v>8.08</v>
      </c>
      <c r="P24">
        <v>25</v>
      </c>
      <c r="Q24">
        <v>1</v>
      </c>
      <c r="V24" t="s">
        <v>603</v>
      </c>
      <c r="W24" s="135" t="s">
        <v>604</v>
      </c>
      <c r="AA24" t="str">
        <f>IFERROR(VLOOKUP(A24,'Capacity of production'!A:C,3,0),"")</f>
        <v/>
      </c>
    </row>
    <row r="25" spans="1:27" ht="15.75" thickBot="1">
      <c r="B25" s="33" t="s">
        <v>329</v>
      </c>
      <c r="C25" s="34" t="s">
        <v>194</v>
      </c>
      <c r="D25" s="35">
        <v>2.6427962489343558E-2</v>
      </c>
      <c r="E25" s="31">
        <f t="shared" si="3"/>
        <v>7.7433930093776623E-2</v>
      </c>
      <c r="F25" s="119"/>
      <c r="G25" s="36"/>
      <c r="H25" s="36" t="str">
        <f>VLOOKUP(B25,'Full Item list'!A:B,2,0)</f>
        <v>PG-470</v>
      </c>
      <c r="I25" s="36"/>
      <c r="J25" s="32" t="str">
        <f t="shared" si="4"/>
        <v>KG</v>
      </c>
      <c r="K25" s="36" t="str">
        <f>VLOOKUP(H25,'Full Item list'!B:O,14,0)</f>
        <v>KG</v>
      </c>
      <c r="L25" s="36"/>
      <c r="M25">
        <f t="shared" si="0"/>
        <v>0.11720000000000001</v>
      </c>
      <c r="N25" t="e">
        <f>VLOOKUP(B25,#REF!,9,0)</f>
        <v>#REF!</v>
      </c>
      <c r="O25">
        <f>IFERROR(IF(J25="KG",VLOOKUP(H25,'Cost Price New'!D:E,2,0),VLOOKUP('BOMs setting'!H25,'Cost Price New'!D:I,6,0)),VLOOKUP(H25,A:R,18,0))</f>
        <v>2.93</v>
      </c>
      <c r="P25">
        <v>25</v>
      </c>
      <c r="Q25">
        <v>1</v>
      </c>
      <c r="V25" t="s">
        <v>603</v>
      </c>
      <c r="W25" s="135" t="s">
        <v>604</v>
      </c>
      <c r="AA25" t="str">
        <f>IFERROR(VLOOKUP(A25,'Capacity of production'!A:C,3,0),"")</f>
        <v/>
      </c>
    </row>
    <row r="26" spans="1:27" ht="15.75" thickBot="1">
      <c r="B26" s="33" t="s">
        <v>330</v>
      </c>
      <c r="C26" s="34" t="s">
        <v>192</v>
      </c>
      <c r="D26" s="35">
        <v>0.27195225916453536</v>
      </c>
      <c r="E26" s="31">
        <f t="shared" si="3"/>
        <v>1.7132992327365728</v>
      </c>
      <c r="F26" s="120"/>
      <c r="G26" s="37"/>
      <c r="H26" s="37" t="str">
        <f>VLOOKUP(B26,'Full Item list'!A:B,2,0)</f>
        <v>PG-461</v>
      </c>
      <c r="I26" s="37"/>
      <c r="J26" s="32" t="str">
        <f t="shared" si="4"/>
        <v>KG</v>
      </c>
      <c r="K26" s="37" t="str">
        <f>VLOOKUP(H26,'Full Item list'!B:O,14,0)</f>
        <v>KG</v>
      </c>
      <c r="L26" s="37"/>
      <c r="M26">
        <f t="shared" si="0"/>
        <v>0.252</v>
      </c>
      <c r="N26" t="e">
        <f>VLOOKUP(B26,#REF!,9,0)</f>
        <v>#REF!</v>
      </c>
      <c r="O26">
        <f>IFERROR(IF(J26="KG",VLOOKUP(H26,'Cost Price New'!D:E,2,0),VLOOKUP('BOMs setting'!H26,'Cost Price New'!D:I,6,0)),VLOOKUP(H26,A:R,18,0))</f>
        <v>6.3</v>
      </c>
      <c r="P26">
        <v>25</v>
      </c>
      <c r="Q26">
        <v>1</v>
      </c>
      <c r="V26" t="s">
        <v>603</v>
      </c>
      <c r="W26" s="135" t="s">
        <v>604</v>
      </c>
      <c r="AA26" t="str">
        <f>IFERROR(VLOOKUP(A26,'Capacity of production'!A:C,3,0),"")</f>
        <v/>
      </c>
    </row>
    <row r="27" spans="1:27" ht="15.75" thickBot="1">
      <c r="B27" s="33" t="s">
        <v>331</v>
      </c>
      <c r="C27" s="34" t="s">
        <v>332</v>
      </c>
      <c r="D27" s="35">
        <v>0.80988917306052854</v>
      </c>
      <c r="E27" s="31">
        <f t="shared" si="3"/>
        <v>7.653452685421995E-2</v>
      </c>
      <c r="F27" s="120"/>
      <c r="G27" s="37"/>
      <c r="H27" s="37" t="str">
        <f>VLOOKUP(B27,'Full Item list'!A:B,2,0)</f>
        <v>TS-440</v>
      </c>
      <c r="I27" s="37"/>
      <c r="J27" s="32" t="str">
        <f t="shared" si="4"/>
        <v>KG</v>
      </c>
      <c r="K27" s="37" t="str">
        <f>VLOOKUP(H27,'Full Item list'!B:O,14,0)</f>
        <v>KG</v>
      </c>
      <c r="L27" s="37"/>
      <c r="M27">
        <f t="shared" si="0"/>
        <v>3.7799999999999999E-3</v>
      </c>
      <c r="N27" t="e">
        <f>VLOOKUP(B27,#REF!,9,0)</f>
        <v>#REF!</v>
      </c>
      <c r="O27">
        <f>IFERROR(IF(J27="KG",VLOOKUP(H27,'Cost Price New'!D:E,2,0),VLOOKUP('BOMs setting'!H27,'Cost Price New'!D:I,6,0)),VLOOKUP(H27,A:R,18,0))</f>
        <v>9.4500000000000001E-2</v>
      </c>
      <c r="P27">
        <v>25</v>
      </c>
      <c r="Q27">
        <v>1</v>
      </c>
      <c r="V27" t="s">
        <v>603</v>
      </c>
      <c r="W27" s="135" t="s">
        <v>604</v>
      </c>
      <c r="AA27" t="str">
        <f>IFERROR(VLOOKUP(A27,'Capacity of production'!A:C,3,0),"")</f>
        <v/>
      </c>
    </row>
    <row r="28" spans="1:27" ht="15.75" thickBot="1">
      <c r="B28" s="33" t="s">
        <v>333</v>
      </c>
      <c r="C28" s="34" t="s">
        <v>127</v>
      </c>
      <c r="D28" s="35">
        <v>1.0656436487638534</v>
      </c>
      <c r="E28" s="31">
        <f t="shared" si="3"/>
        <v>0.48167092924126176</v>
      </c>
      <c r="F28" s="120"/>
      <c r="G28" s="37"/>
      <c r="H28" s="37" t="str">
        <f>VLOOKUP(B28,'Full Item list'!A:B,2,0)</f>
        <v>FT-680</v>
      </c>
      <c r="I28" s="37"/>
      <c r="J28" s="32" t="str">
        <f t="shared" si="4"/>
        <v>KG</v>
      </c>
      <c r="K28" s="37" t="str">
        <f>VLOOKUP(H28,'Full Item list'!B:O,14,0)</f>
        <v>KG</v>
      </c>
      <c r="L28" s="37"/>
      <c r="M28">
        <f t="shared" si="0"/>
        <v>1.8079999999999999E-2</v>
      </c>
      <c r="N28" t="e">
        <f>VLOOKUP(B28,#REF!,9,0)</f>
        <v>#REF!</v>
      </c>
      <c r="O28">
        <f>IFERROR(IF(J28="KG",VLOOKUP(H28,'Cost Price New'!D:E,2,0),VLOOKUP('BOMs setting'!H28,'Cost Price New'!D:I,6,0)),VLOOKUP(H28,A:R,18,0))</f>
        <v>0.45200000000000001</v>
      </c>
      <c r="P28">
        <v>25</v>
      </c>
      <c r="Q28">
        <v>1</v>
      </c>
      <c r="V28" t="s">
        <v>603</v>
      </c>
      <c r="W28" s="135" t="s">
        <v>604</v>
      </c>
      <c r="AA28" t="str">
        <f>IFERROR(VLOOKUP(A28,'Capacity of production'!A:C,3,0),"")</f>
        <v/>
      </c>
    </row>
    <row r="29" spans="1:27" ht="15.75" thickBot="1">
      <c r="B29" s="33" t="s">
        <v>334</v>
      </c>
      <c r="C29" s="34" t="s">
        <v>129</v>
      </c>
      <c r="D29" s="35">
        <v>6.3938618925831206E-2</v>
      </c>
      <c r="E29" s="31">
        <f t="shared" si="3"/>
        <v>0.51406649616368283</v>
      </c>
      <c r="F29" s="120"/>
      <c r="G29" s="37"/>
      <c r="H29" s="37" t="str">
        <f>VLOOKUP(B29,'Full Item list'!A:B,2,0)</f>
        <v>FT-690</v>
      </c>
      <c r="I29" s="37"/>
      <c r="J29" s="32" t="str">
        <f t="shared" si="4"/>
        <v>KG</v>
      </c>
      <c r="K29" s="37" t="str">
        <f>VLOOKUP(H29,'Full Item list'!B:O,14,0)</f>
        <v>KG</v>
      </c>
      <c r="L29" s="37"/>
      <c r="M29">
        <f t="shared" si="0"/>
        <v>0.80399999999999994</v>
      </c>
      <c r="N29" t="e">
        <f>VLOOKUP(B29,#REF!,9,0)</f>
        <v>#REF!</v>
      </c>
      <c r="O29">
        <f>IFERROR(IF(J29="KG",VLOOKUP(H29,'Cost Price New'!D:E,2,0),VLOOKUP('BOMs setting'!H29,'Cost Price New'!D:I,6,0)),VLOOKUP(H29,A:R,18,0))</f>
        <v>8.0399999999999991</v>
      </c>
      <c r="P29">
        <v>10</v>
      </c>
      <c r="Q29">
        <v>1</v>
      </c>
      <c r="V29" t="s">
        <v>603</v>
      </c>
      <c r="W29" s="135" t="s">
        <v>604</v>
      </c>
      <c r="AA29" t="str">
        <f>IFERROR(VLOOKUP(A29,'Capacity of production'!A:C,3,0),"")</f>
        <v/>
      </c>
    </row>
    <row r="30" spans="1:27" ht="15.75" thickBot="1">
      <c r="B30" s="41" t="s">
        <v>335</v>
      </c>
      <c r="C30" s="42" t="s">
        <v>103</v>
      </c>
      <c r="D30" s="43">
        <v>0.85251491901108267</v>
      </c>
      <c r="E30" s="31">
        <f t="shared" si="3"/>
        <v>4.2455242966751925</v>
      </c>
      <c r="F30" s="45"/>
      <c r="G30" s="32"/>
      <c r="H30" s="32" t="str">
        <f>VLOOKUP(B30,'Full Item list'!A:B,2,0)</f>
        <v>CT-670</v>
      </c>
      <c r="I30" s="32"/>
      <c r="J30" s="32" t="str">
        <f t="shared" si="4"/>
        <v>KG</v>
      </c>
      <c r="K30" s="32" t="str">
        <f>VLOOKUP(H30,'Full Item list'!B:O,14,0)</f>
        <v>KG</v>
      </c>
      <c r="L30" s="32"/>
      <c r="M30">
        <f t="shared" si="0"/>
        <v>2.3714285714285716E-2</v>
      </c>
      <c r="N30" t="e">
        <f>VLOOKUP(B30,#REF!,9,0)</f>
        <v>#REF!</v>
      </c>
      <c r="O30">
        <f>IFERROR(IF(J30="KG",VLOOKUP(H30,'Cost Price New'!D:E,2,0),VLOOKUP('BOMs setting'!H30,'Cost Price New'!D:I,6,0)),VLOOKUP(H30,A:R,18,0))</f>
        <v>4.9800000000000004</v>
      </c>
      <c r="P30">
        <v>210</v>
      </c>
      <c r="Q30">
        <v>1</v>
      </c>
      <c r="V30" t="s">
        <v>603</v>
      </c>
      <c r="W30" s="135" t="s">
        <v>604</v>
      </c>
      <c r="AA30" t="str">
        <f>IFERROR(VLOOKUP(A30,'Capacity of production'!A:C,3,0),"")</f>
        <v/>
      </c>
    </row>
    <row r="31" spans="1:27" ht="15.75" thickBot="1">
      <c r="B31" s="41" t="s">
        <v>311</v>
      </c>
      <c r="C31" s="42" t="s">
        <v>313</v>
      </c>
      <c r="D31" s="284">
        <f>I18/AA18</f>
        <v>0.125</v>
      </c>
      <c r="E31" s="31">
        <f t="shared" si="3"/>
        <v>61.383280048907629</v>
      </c>
      <c r="F31" s="45" t="s">
        <v>782</v>
      </c>
      <c r="G31" s="32"/>
      <c r="H31" s="32" t="str">
        <f>VLOOKUP(B31,'Full Item list'!A:B,2,0)</f>
        <v>LAB/OH-Resin</v>
      </c>
      <c r="I31" s="32"/>
      <c r="J31" s="32" t="str">
        <f t="shared" si="4"/>
        <v>H</v>
      </c>
      <c r="K31" s="32" t="str">
        <f>VLOOKUP(H31,'Full Item list'!B:O,14,0)</f>
        <v>H</v>
      </c>
      <c r="L31" s="32"/>
      <c r="O31">
        <f>IFERROR(IF(J31="KG",VLOOKUP(H31,'Cost Price New'!D:E,2,0),VLOOKUP('BOMs setting'!H31,'Cost Price New'!D:I,6,0)),VLOOKUP(H31,A:R,18,0))</f>
        <v>491.06624039126103</v>
      </c>
      <c r="V31" t="s">
        <v>603</v>
      </c>
      <c r="W31" s="135" t="s">
        <v>604</v>
      </c>
      <c r="AA31" t="str">
        <f>IFERROR(VLOOKUP(A31,'Capacity of production'!A:C,3,0),"")</f>
        <v/>
      </c>
    </row>
    <row r="32" spans="1:27" ht="15">
      <c r="B32" s="54"/>
      <c r="C32" s="55"/>
      <c r="D32" s="56"/>
      <c r="E32" s="56" t="s">
        <v>466</v>
      </c>
      <c r="F32" s="56">
        <f>SUM(E20:E31)</f>
        <v>74.624844413784018</v>
      </c>
      <c r="G32" s="55"/>
      <c r="H32" s="55"/>
      <c r="I32" s="55"/>
      <c r="J32" s="55"/>
      <c r="K32" s="55"/>
      <c r="L32" s="55"/>
      <c r="V32" t="s">
        <v>603</v>
      </c>
      <c r="W32" s="135" t="s">
        <v>604</v>
      </c>
      <c r="AA32" t="str">
        <f>IFERROR(VLOOKUP(A32,'Capacity of production'!A:C,3,0),"")</f>
        <v/>
      </c>
    </row>
    <row r="33" spans="1:27" ht="15.75" thickBot="1">
      <c r="B33" s="54"/>
      <c r="C33" s="55"/>
      <c r="D33" s="56"/>
      <c r="E33" s="56"/>
      <c r="F33" s="55"/>
      <c r="G33" s="55"/>
      <c r="H33" s="55"/>
      <c r="I33" s="55"/>
      <c r="J33" s="55"/>
      <c r="K33" s="55"/>
      <c r="L33" s="55"/>
      <c r="V33" t="s">
        <v>603</v>
      </c>
      <c r="W33" s="135" t="s">
        <v>604</v>
      </c>
      <c r="AA33" t="str">
        <f>IFERROR(VLOOKUP(A33,'Capacity of production'!A:C,3,0),"")</f>
        <v/>
      </c>
    </row>
    <row r="34" spans="1:27" ht="16.5" thickBot="1">
      <c r="A34" s="102" t="s">
        <v>218</v>
      </c>
      <c r="B34" s="20" t="s">
        <v>218</v>
      </c>
      <c r="C34" s="288" t="str">
        <f>VLOOKUP(A34,'All products'!A:B,2,0)</f>
        <v>ADHEPOX-SPFM (A+B 10KG)</v>
      </c>
      <c r="D34" s="288"/>
      <c r="E34" s="288"/>
      <c r="F34" s="289"/>
      <c r="G34" s="21">
        <v>1</v>
      </c>
      <c r="H34" s="21" t="str">
        <f>VLOOKUP(B34,'Full Item list'!A:B,2,0)</f>
        <v>RE232F</v>
      </c>
      <c r="I34" s="21">
        <f>VLOOKUP(H34,'Full Item list'!B:J,9,0)</f>
        <v>10</v>
      </c>
      <c r="J34" s="21"/>
      <c r="K34" s="21" t="str">
        <f>VLOOKUP(H34,'Full Item list'!B:O,14,0)</f>
        <v>PCS</v>
      </c>
      <c r="L34" s="21"/>
      <c r="M34">
        <f t="shared" si="0"/>
        <v>0</v>
      </c>
      <c r="N34" t="e">
        <f>VLOOKUP(B34,#REF!,9,0)</f>
        <v>#REF!</v>
      </c>
      <c r="P34">
        <v>10</v>
      </c>
      <c r="R34">
        <f ca="1">OFFSET(F34,MATCH("Total Cost:",E34:E84,0)-1,0,1,1)/G34</f>
        <v>124.69637680800497</v>
      </c>
      <c r="U34" t="str">
        <f>VLOOKUP(H34,'Full Item list'!B:D,3,0)</f>
        <v>Product</v>
      </c>
      <c r="V34" t="s">
        <v>603</v>
      </c>
      <c r="W34" s="135" t="s">
        <v>604</v>
      </c>
      <c r="X34" t="s">
        <v>606</v>
      </c>
      <c r="AA34">
        <f>IFERROR(VLOOKUP(A34,'Capacity of production'!A:C,3,0),"")</f>
        <v>50</v>
      </c>
    </row>
    <row r="35" spans="1:27" ht="15" thickBot="1">
      <c r="B35" s="23" t="s">
        <v>319</v>
      </c>
      <c r="C35" s="24" t="s">
        <v>320</v>
      </c>
      <c r="D35" s="25" t="s">
        <v>321</v>
      </c>
      <c r="E35" s="25" t="s">
        <v>322</v>
      </c>
      <c r="F35" s="26" t="s">
        <v>461</v>
      </c>
      <c r="G35" s="27"/>
      <c r="H35" s="27"/>
      <c r="I35" s="27"/>
      <c r="J35" s="27"/>
      <c r="K35" s="27"/>
      <c r="L35" s="27"/>
      <c r="V35" t="s">
        <v>603</v>
      </c>
      <c r="W35" s="135" t="s">
        <v>604</v>
      </c>
      <c r="AA35" t="str">
        <f>IFERROR(VLOOKUP(A35,'Capacity of production'!A:C,3,0),"")</f>
        <v/>
      </c>
    </row>
    <row r="36" spans="1:27" ht="15.75" thickBot="1">
      <c r="B36" s="28" t="s">
        <v>324</v>
      </c>
      <c r="C36" s="29" t="s">
        <v>221</v>
      </c>
      <c r="D36" s="30">
        <v>1.7050298380221653</v>
      </c>
      <c r="E36" s="31">
        <f t="shared" ref="E36:E47" si="5">O36*D36</f>
        <v>6.3427109974424551</v>
      </c>
      <c r="F36" s="118"/>
      <c r="G36" s="32"/>
      <c r="H36" s="32" t="str">
        <f>VLOOKUP(B36,'Full Item list'!A:B,2,0)</f>
        <v>RE-290</v>
      </c>
      <c r="I36" s="32"/>
      <c r="J36" s="32" t="str">
        <f t="shared" ref="J36:J47" si="6">K36</f>
        <v>KG</v>
      </c>
      <c r="K36" s="32" t="str">
        <f>VLOOKUP(H36,'Full Item list'!B:O,14,0)</f>
        <v>KG</v>
      </c>
      <c r="L36" s="32"/>
      <c r="M36">
        <f t="shared" si="0"/>
        <v>1.6909090909090908E-2</v>
      </c>
      <c r="N36" t="e">
        <f>VLOOKUP(B36,#REF!,9,0)</f>
        <v>#REF!</v>
      </c>
      <c r="O36">
        <f>IFERROR(IF(J36="KG",VLOOKUP(H36,'Cost Price New'!D:E,2,0),VLOOKUP('BOMs setting'!H36,'Cost Price New'!D:I,6,0)),VLOOKUP(H36,A:R,18,0))</f>
        <v>3.72</v>
      </c>
      <c r="P36">
        <v>220</v>
      </c>
      <c r="Q36">
        <v>1</v>
      </c>
      <c r="V36" t="s">
        <v>603</v>
      </c>
      <c r="W36" s="135" t="s">
        <v>604</v>
      </c>
      <c r="AA36" t="str">
        <f>IFERROR(VLOOKUP(A36,'Capacity of production'!A:C,3,0),"")</f>
        <v/>
      </c>
    </row>
    <row r="37" spans="1:27" ht="15.75" thickBot="1">
      <c r="B37" s="33" t="s">
        <v>325</v>
      </c>
      <c r="C37" s="34" t="s">
        <v>223</v>
      </c>
      <c r="D37" s="35">
        <v>2.0460358056265986</v>
      </c>
      <c r="E37" s="31">
        <f t="shared" si="5"/>
        <v>5.421994884910486</v>
      </c>
      <c r="F37" s="119"/>
      <c r="G37" s="36"/>
      <c r="H37" s="36" t="str">
        <f>VLOOKUP(B37,'Full Item list'!A:B,2,0)</f>
        <v>RE-300</v>
      </c>
      <c r="I37" s="36"/>
      <c r="J37" s="32" t="str">
        <f t="shared" si="6"/>
        <v>KG</v>
      </c>
      <c r="K37" s="36" t="str">
        <f>VLOOKUP(H37,'Full Item list'!B:O,14,0)</f>
        <v>KG</v>
      </c>
      <c r="L37" s="36"/>
      <c r="M37">
        <f t="shared" si="0"/>
        <v>1.2045454545454545E-2</v>
      </c>
      <c r="N37" t="e">
        <f>VLOOKUP(B37,#REF!,9,0)</f>
        <v>#REF!</v>
      </c>
      <c r="O37">
        <f>IFERROR(IF(J37="KG",VLOOKUP(H37,'Cost Price New'!D:E,2,0),VLOOKUP('BOMs setting'!H37,'Cost Price New'!D:I,6,0)),VLOOKUP(H37,A:R,18,0))</f>
        <v>2.65</v>
      </c>
      <c r="P37">
        <v>220</v>
      </c>
      <c r="Q37">
        <v>1</v>
      </c>
      <c r="V37" t="s">
        <v>603</v>
      </c>
      <c r="W37" s="135" t="s">
        <v>604</v>
      </c>
      <c r="AA37" t="str">
        <f>IFERROR(VLOOKUP(A37,'Capacity of production'!A:C,3,0),"")</f>
        <v/>
      </c>
    </row>
    <row r="38" spans="1:27" ht="15.75" thickBot="1">
      <c r="B38" s="33" t="s">
        <v>326</v>
      </c>
      <c r="C38" s="34" t="s">
        <v>238</v>
      </c>
      <c r="D38" s="35">
        <v>2.9838022165387893E-2</v>
      </c>
      <c r="E38" s="31">
        <f t="shared" si="5"/>
        <v>0.18081841432225063</v>
      </c>
      <c r="F38" s="119"/>
      <c r="G38" s="36"/>
      <c r="H38" s="36" t="str">
        <f>VLOOKUP(B38,'Full Item list'!A:B,2,0)</f>
        <v>SF-160</v>
      </c>
      <c r="I38" s="36"/>
      <c r="J38" s="32" t="str">
        <f t="shared" si="6"/>
        <v>KG</v>
      </c>
      <c r="K38" s="36" t="str">
        <f>VLOOKUP(H38,'Full Item list'!B:O,14,0)</f>
        <v>KG</v>
      </c>
      <c r="L38" s="36"/>
      <c r="M38">
        <f t="shared" si="0"/>
        <v>0.24239999999999998</v>
      </c>
      <c r="N38" t="e">
        <f>VLOOKUP(B38,#REF!,9,0)</f>
        <v>#REF!</v>
      </c>
      <c r="O38">
        <f>IFERROR(IF(J38="KG",VLOOKUP(H38,'Cost Price New'!D:E,2,0),VLOOKUP('BOMs setting'!H38,'Cost Price New'!D:I,6,0)),VLOOKUP(H38,A:R,18,0))</f>
        <v>6.06</v>
      </c>
      <c r="P38">
        <v>25</v>
      </c>
      <c r="Q38">
        <v>1</v>
      </c>
      <c r="V38" t="s">
        <v>603</v>
      </c>
      <c r="W38" s="135" t="s">
        <v>604</v>
      </c>
      <c r="AA38" t="str">
        <f>IFERROR(VLOOKUP(A38,'Capacity of production'!A:C,3,0),"")</f>
        <v/>
      </c>
    </row>
    <row r="39" spans="1:27" ht="15.75" thickBot="1">
      <c r="B39" s="33" t="s">
        <v>327</v>
      </c>
      <c r="C39" s="34" t="s">
        <v>65</v>
      </c>
      <c r="D39" s="35">
        <v>8.5251491901108273E-3</v>
      </c>
      <c r="E39" s="31">
        <f t="shared" si="5"/>
        <v>7.9454390451832918E-2</v>
      </c>
      <c r="F39" s="119"/>
      <c r="G39" s="36"/>
      <c r="H39" s="36" t="str">
        <f>VLOOKUP(B39,'Full Item list'!A:B,2,0)</f>
        <v>AD-320</v>
      </c>
      <c r="I39" s="36"/>
      <c r="J39" s="32" t="str">
        <f t="shared" si="6"/>
        <v>KG</v>
      </c>
      <c r="K39" s="36" t="str">
        <f>VLOOKUP(H39,'Full Item list'!B:O,14,0)</f>
        <v>KG</v>
      </c>
      <c r="L39" s="36"/>
      <c r="M39">
        <f t="shared" si="0"/>
        <v>0.37280000000000002</v>
      </c>
      <c r="N39" t="e">
        <f>VLOOKUP(B39,#REF!,9,0)</f>
        <v>#REF!</v>
      </c>
      <c r="O39">
        <f>IFERROR(IF(J39="KG",VLOOKUP(H39,'Cost Price New'!D:E,2,0),VLOOKUP('BOMs setting'!H39,'Cost Price New'!D:I,6,0)),VLOOKUP(H39,A:R,18,0))</f>
        <v>9.32</v>
      </c>
      <c r="P39">
        <v>25</v>
      </c>
      <c r="Q39">
        <v>1</v>
      </c>
      <c r="V39" t="s">
        <v>603</v>
      </c>
      <c r="W39" s="135" t="s">
        <v>604</v>
      </c>
      <c r="AA39" t="str">
        <f>IFERROR(VLOOKUP(A39,'Capacity of production'!A:C,3,0),"")</f>
        <v/>
      </c>
    </row>
    <row r="40" spans="1:27" ht="15.75" thickBot="1">
      <c r="B40" s="33" t="s">
        <v>328</v>
      </c>
      <c r="C40" s="34" t="s">
        <v>235</v>
      </c>
      <c r="D40" s="35">
        <v>2.9838022165387893E-2</v>
      </c>
      <c r="E40" s="31">
        <f t="shared" si="5"/>
        <v>0.24109121909633419</v>
      </c>
      <c r="F40" s="119"/>
      <c r="G40" s="36"/>
      <c r="H40" s="36" t="str">
        <f>VLOOKUP(B40,'Full Item list'!A:B,2,0)</f>
        <v>SF-150</v>
      </c>
      <c r="I40" s="36"/>
      <c r="J40" s="32" t="str">
        <f t="shared" si="6"/>
        <v>KG</v>
      </c>
      <c r="K40" s="36" t="str">
        <f>VLOOKUP(H40,'Full Item list'!B:O,14,0)</f>
        <v>KG</v>
      </c>
      <c r="L40" s="36"/>
      <c r="M40">
        <f t="shared" si="0"/>
        <v>0.32319999999999999</v>
      </c>
      <c r="N40" t="e">
        <f>VLOOKUP(B40,#REF!,9,0)</f>
        <v>#REF!</v>
      </c>
      <c r="O40">
        <f>IFERROR(IF(J40="KG",VLOOKUP(H40,'Cost Price New'!D:E,2,0),VLOOKUP('BOMs setting'!H40,'Cost Price New'!D:I,6,0)),VLOOKUP(H40,A:R,18,0))</f>
        <v>8.08</v>
      </c>
      <c r="P40">
        <v>25</v>
      </c>
      <c r="Q40">
        <v>1</v>
      </c>
      <c r="V40" t="s">
        <v>603</v>
      </c>
      <c r="W40" s="135" t="s">
        <v>604</v>
      </c>
      <c r="AA40" t="str">
        <f>IFERROR(VLOOKUP(A40,'Capacity of production'!A:C,3,0),"")</f>
        <v/>
      </c>
    </row>
    <row r="41" spans="1:27" ht="15.75" thickBot="1">
      <c r="B41" s="33" t="s">
        <v>329</v>
      </c>
      <c r="C41" s="34" t="s">
        <v>194</v>
      </c>
      <c r="D41" s="35">
        <v>5.2855924978687116E-2</v>
      </c>
      <c r="E41" s="31">
        <f t="shared" si="5"/>
        <v>0.15486786018755325</v>
      </c>
      <c r="F41" s="119"/>
      <c r="G41" s="36"/>
      <c r="H41" s="36" t="str">
        <f>VLOOKUP(B41,'Full Item list'!A:B,2,0)</f>
        <v>PG-470</v>
      </c>
      <c r="I41" s="36"/>
      <c r="J41" s="32" t="str">
        <f t="shared" si="6"/>
        <v>KG</v>
      </c>
      <c r="K41" s="36" t="str">
        <f>VLOOKUP(H41,'Full Item list'!B:O,14,0)</f>
        <v>KG</v>
      </c>
      <c r="L41" s="36"/>
      <c r="M41">
        <f t="shared" si="0"/>
        <v>0.11720000000000001</v>
      </c>
      <c r="N41" t="e">
        <f>VLOOKUP(B41,#REF!,9,0)</f>
        <v>#REF!</v>
      </c>
      <c r="O41">
        <f>IFERROR(IF(J41="KG",VLOOKUP(H41,'Cost Price New'!D:E,2,0),VLOOKUP('BOMs setting'!H41,'Cost Price New'!D:I,6,0)),VLOOKUP(H41,A:R,18,0))</f>
        <v>2.93</v>
      </c>
      <c r="P41">
        <v>25</v>
      </c>
      <c r="Q41">
        <v>1</v>
      </c>
      <c r="V41" t="s">
        <v>603</v>
      </c>
      <c r="W41" s="135" t="s">
        <v>604</v>
      </c>
      <c r="AA41" t="str">
        <f>IFERROR(VLOOKUP(A41,'Capacity of production'!A:C,3,0),"")</f>
        <v/>
      </c>
    </row>
    <row r="42" spans="1:27" ht="15.75" thickBot="1">
      <c r="B42" s="33" t="s">
        <v>330</v>
      </c>
      <c r="C42" s="34" t="s">
        <v>192</v>
      </c>
      <c r="D42" s="35">
        <v>0.54390451832907072</v>
      </c>
      <c r="E42" s="31">
        <f t="shared" si="5"/>
        <v>3.4265984654731456</v>
      </c>
      <c r="F42" s="120"/>
      <c r="G42" s="37"/>
      <c r="H42" s="37" t="str">
        <f>VLOOKUP(B42,'Full Item list'!A:B,2,0)</f>
        <v>PG-461</v>
      </c>
      <c r="I42" s="37"/>
      <c r="J42" s="32" t="str">
        <f t="shared" si="6"/>
        <v>KG</v>
      </c>
      <c r="K42" s="37" t="str">
        <f>VLOOKUP(H42,'Full Item list'!B:O,14,0)</f>
        <v>KG</v>
      </c>
      <c r="L42" s="37"/>
      <c r="M42">
        <f t="shared" si="0"/>
        <v>0.252</v>
      </c>
      <c r="N42" t="e">
        <f>VLOOKUP(B42,#REF!,9,0)</f>
        <v>#REF!</v>
      </c>
      <c r="O42">
        <f>IFERROR(IF(J42="KG",VLOOKUP(H42,'Cost Price New'!D:E,2,0),VLOOKUP('BOMs setting'!H42,'Cost Price New'!D:I,6,0)),VLOOKUP(H42,A:R,18,0))</f>
        <v>6.3</v>
      </c>
      <c r="P42">
        <v>25</v>
      </c>
      <c r="Q42">
        <v>1</v>
      </c>
      <c r="V42" t="s">
        <v>603</v>
      </c>
      <c r="W42" s="135" t="s">
        <v>604</v>
      </c>
      <c r="AA42" t="str">
        <f>IFERROR(VLOOKUP(A42,'Capacity of production'!A:C,3,0),"")</f>
        <v/>
      </c>
    </row>
    <row r="43" spans="1:27" ht="15.75" thickBot="1">
      <c r="B43" s="33" t="s">
        <v>331</v>
      </c>
      <c r="C43" s="34" t="s">
        <v>332</v>
      </c>
      <c r="D43" s="35">
        <v>1.6197783461210571</v>
      </c>
      <c r="E43" s="31">
        <f t="shared" si="5"/>
        <v>0.1530690537084399</v>
      </c>
      <c r="F43" s="120"/>
      <c r="G43" s="37"/>
      <c r="H43" s="37" t="str">
        <f>VLOOKUP(B43,'Full Item list'!A:B,2,0)</f>
        <v>TS-440</v>
      </c>
      <c r="I43" s="37"/>
      <c r="J43" s="32" t="str">
        <f t="shared" si="6"/>
        <v>KG</v>
      </c>
      <c r="K43" s="37" t="str">
        <f>VLOOKUP(H43,'Full Item list'!B:O,14,0)</f>
        <v>KG</v>
      </c>
      <c r="L43" s="37"/>
      <c r="M43">
        <f t="shared" si="0"/>
        <v>3.7799999999999999E-3</v>
      </c>
      <c r="N43" t="e">
        <f>VLOOKUP(B43,#REF!,9,0)</f>
        <v>#REF!</v>
      </c>
      <c r="O43">
        <f>IFERROR(IF(J43="KG",VLOOKUP(H43,'Cost Price New'!D:E,2,0),VLOOKUP('BOMs setting'!H43,'Cost Price New'!D:I,6,0)),VLOOKUP(H43,A:R,18,0))</f>
        <v>9.4500000000000001E-2</v>
      </c>
      <c r="P43">
        <v>25</v>
      </c>
      <c r="Q43">
        <v>1</v>
      </c>
      <c r="V43" t="s">
        <v>603</v>
      </c>
      <c r="W43" s="135" t="s">
        <v>604</v>
      </c>
      <c r="AA43" t="str">
        <f>IFERROR(VLOOKUP(A43,'Capacity of production'!A:C,3,0),"")</f>
        <v/>
      </c>
    </row>
    <row r="44" spans="1:27" ht="15.75" thickBot="1">
      <c r="B44" s="33" t="s">
        <v>333</v>
      </c>
      <c r="C44" s="34" t="s">
        <v>127</v>
      </c>
      <c r="D44" s="35">
        <v>2.1312872975277068</v>
      </c>
      <c r="E44" s="31">
        <f t="shared" si="5"/>
        <v>0.96334185848252352</v>
      </c>
      <c r="F44" s="120"/>
      <c r="G44" s="37"/>
      <c r="H44" s="37" t="str">
        <f>VLOOKUP(B44,'Full Item list'!A:B,2,0)</f>
        <v>FT-680</v>
      </c>
      <c r="I44" s="37"/>
      <c r="J44" s="32" t="str">
        <f t="shared" si="6"/>
        <v>KG</v>
      </c>
      <c r="K44" s="37" t="str">
        <f>VLOOKUP(H44,'Full Item list'!B:O,14,0)</f>
        <v>KG</v>
      </c>
      <c r="L44" s="37"/>
      <c r="M44">
        <f t="shared" si="0"/>
        <v>1.8079999999999999E-2</v>
      </c>
      <c r="N44" t="e">
        <f>VLOOKUP(B44,#REF!,9,0)</f>
        <v>#REF!</v>
      </c>
      <c r="O44">
        <f>IFERROR(IF(J44="KG",VLOOKUP(H44,'Cost Price New'!D:E,2,0),VLOOKUP('BOMs setting'!H44,'Cost Price New'!D:I,6,0)),VLOOKUP(H44,A:R,18,0))</f>
        <v>0.45200000000000001</v>
      </c>
      <c r="P44">
        <v>25</v>
      </c>
      <c r="Q44">
        <v>1</v>
      </c>
      <c r="V44" t="s">
        <v>603</v>
      </c>
      <c r="W44" s="135" t="s">
        <v>604</v>
      </c>
      <c r="AA44" t="str">
        <f>IFERROR(VLOOKUP(A44,'Capacity of production'!A:C,3,0),"")</f>
        <v/>
      </c>
    </row>
    <row r="45" spans="1:27" ht="15.75" thickBot="1">
      <c r="B45" s="33" t="s">
        <v>334</v>
      </c>
      <c r="C45" s="34" t="s">
        <v>129</v>
      </c>
      <c r="D45" s="35">
        <v>0.12787723785166241</v>
      </c>
      <c r="E45" s="31">
        <f t="shared" si="5"/>
        <v>1.0281329923273657</v>
      </c>
      <c r="F45" s="120"/>
      <c r="G45" s="37"/>
      <c r="H45" s="37" t="str">
        <f>VLOOKUP(B45,'Full Item list'!A:B,2,0)</f>
        <v>FT-690</v>
      </c>
      <c r="I45" s="37"/>
      <c r="J45" s="32" t="str">
        <f t="shared" si="6"/>
        <v>KG</v>
      </c>
      <c r="K45" s="37" t="str">
        <f>VLOOKUP(H45,'Full Item list'!B:O,14,0)</f>
        <v>KG</v>
      </c>
      <c r="L45" s="37"/>
      <c r="M45">
        <f t="shared" si="0"/>
        <v>0.80399999999999994</v>
      </c>
      <c r="N45" t="e">
        <f>VLOOKUP(B45,#REF!,9,0)</f>
        <v>#REF!</v>
      </c>
      <c r="O45">
        <f>IFERROR(IF(J45="KG",VLOOKUP(H45,'Cost Price New'!D:E,2,0),VLOOKUP('BOMs setting'!H45,'Cost Price New'!D:I,6,0)),VLOOKUP(H45,A:R,18,0))</f>
        <v>8.0399999999999991</v>
      </c>
      <c r="P45">
        <v>10</v>
      </c>
      <c r="Q45">
        <v>1</v>
      </c>
      <c r="V45" t="s">
        <v>603</v>
      </c>
      <c r="W45" s="135" t="s">
        <v>604</v>
      </c>
      <c r="AA45" t="str">
        <f>IFERROR(VLOOKUP(A45,'Capacity of production'!A:C,3,0),"")</f>
        <v/>
      </c>
    </row>
    <row r="46" spans="1:27" ht="15.75" thickBot="1">
      <c r="B46" s="41" t="s">
        <v>335</v>
      </c>
      <c r="C46" s="42" t="s">
        <v>103</v>
      </c>
      <c r="D46" s="43">
        <v>1.7050298380221653</v>
      </c>
      <c r="E46" s="31">
        <f t="shared" si="5"/>
        <v>8.491048593350385</v>
      </c>
      <c r="F46" s="45"/>
      <c r="G46" s="32"/>
      <c r="H46" s="32" t="str">
        <f>VLOOKUP(B46,'Full Item list'!A:B,2,0)</f>
        <v>CT-670</v>
      </c>
      <c r="I46" s="32"/>
      <c r="J46" s="32" t="str">
        <f t="shared" si="6"/>
        <v>KG</v>
      </c>
      <c r="K46" s="32" t="str">
        <f>VLOOKUP(H46,'Full Item list'!B:O,14,0)</f>
        <v>KG</v>
      </c>
      <c r="L46" s="32"/>
      <c r="M46">
        <f t="shared" si="0"/>
        <v>2.3714285714285716E-2</v>
      </c>
      <c r="N46" t="e">
        <f>VLOOKUP(B46,#REF!,9,0)</f>
        <v>#REF!</v>
      </c>
      <c r="O46">
        <f>IFERROR(IF(J46="KG",VLOOKUP(H46,'Cost Price New'!D:E,2,0),VLOOKUP('BOMs setting'!H46,'Cost Price New'!D:I,6,0)),VLOOKUP(H46,A:R,18,0))</f>
        <v>4.9800000000000004</v>
      </c>
      <c r="P46">
        <v>210</v>
      </c>
      <c r="Q46">
        <v>1</v>
      </c>
      <c r="V46" t="s">
        <v>603</v>
      </c>
      <c r="W46" s="135" t="s">
        <v>604</v>
      </c>
      <c r="AA46" t="str">
        <f>IFERROR(VLOOKUP(A46,'Capacity of production'!A:C,3,0),"")</f>
        <v/>
      </c>
    </row>
    <row r="47" spans="1:27" ht="15.75" thickBot="1">
      <c r="B47" s="41" t="s">
        <v>311</v>
      </c>
      <c r="C47" s="42" t="s">
        <v>313</v>
      </c>
      <c r="D47" s="284">
        <f>I34/AA34</f>
        <v>0.2</v>
      </c>
      <c r="E47" s="31">
        <f t="shared" si="5"/>
        <v>98.213248078252207</v>
      </c>
      <c r="F47" s="45" t="s">
        <v>782</v>
      </c>
      <c r="G47" s="32"/>
      <c r="H47" s="32" t="str">
        <f>VLOOKUP(B47,'Full Item list'!A:B,2,0)</f>
        <v>LAB/OH-Resin</v>
      </c>
      <c r="I47" s="32"/>
      <c r="J47" s="32" t="str">
        <f t="shared" si="6"/>
        <v>H</v>
      </c>
      <c r="K47" s="32" t="str">
        <f>VLOOKUP(H47,'Full Item list'!B:O,14,0)</f>
        <v>H</v>
      </c>
      <c r="L47" s="32"/>
      <c r="O47">
        <f>IFERROR(IF(J47="KG",VLOOKUP(H47,'Cost Price New'!D:E,2,0),VLOOKUP('BOMs setting'!H47,'Cost Price New'!D:I,6,0)),VLOOKUP(H47,A:R,18,0))</f>
        <v>491.06624039126103</v>
      </c>
      <c r="V47" t="s">
        <v>603</v>
      </c>
      <c r="W47" s="135" t="s">
        <v>604</v>
      </c>
      <c r="AA47" t="str">
        <f>IFERROR(VLOOKUP(A47,'Capacity of production'!A:C,3,0),"")</f>
        <v/>
      </c>
    </row>
    <row r="48" spans="1:27" ht="15">
      <c r="B48" s="54"/>
      <c r="C48" s="55"/>
      <c r="D48" s="56"/>
      <c r="E48" s="56" t="s">
        <v>466</v>
      </c>
      <c r="F48" s="56">
        <f>SUM(E36:E47)</f>
        <v>124.69637680800497</v>
      </c>
      <c r="G48" s="55"/>
      <c r="H48" s="55"/>
      <c r="I48" s="55"/>
      <c r="J48" s="55"/>
      <c r="K48" s="55"/>
      <c r="L48" s="55"/>
      <c r="V48" t="s">
        <v>603</v>
      </c>
      <c r="W48" s="135" t="s">
        <v>604</v>
      </c>
      <c r="AA48" t="str">
        <f>IFERROR(VLOOKUP(A48,'Capacity of production'!A:C,3,0),"")</f>
        <v/>
      </c>
    </row>
    <row r="49" spans="1:27" ht="15.75" thickBot="1">
      <c r="B49" s="54"/>
      <c r="C49" s="55"/>
      <c r="D49" s="56"/>
      <c r="E49" s="56"/>
      <c r="F49" s="55"/>
      <c r="G49" s="55"/>
      <c r="H49" s="55"/>
      <c r="I49" s="55"/>
      <c r="J49" s="55"/>
      <c r="K49" s="55"/>
      <c r="L49" s="55"/>
      <c r="V49" t="s">
        <v>603</v>
      </c>
      <c r="W49" s="135" t="s">
        <v>604</v>
      </c>
      <c r="AA49" t="str">
        <f>IFERROR(VLOOKUP(A49,'Capacity of production'!A:C,3,0),"")</f>
        <v/>
      </c>
    </row>
    <row r="50" spans="1:27" ht="16.5" thickBot="1">
      <c r="A50" t="str">
        <f>B50</f>
        <v>RE031F</v>
      </c>
      <c r="B50" s="20" t="s">
        <v>208</v>
      </c>
      <c r="C50" s="288" t="str">
        <f>VLOOKUP(A50,'All products'!A:B,2,0)</f>
        <v>TECNOPOX-P (A+B 2KG)</v>
      </c>
      <c r="D50" s="288"/>
      <c r="E50" s="288"/>
      <c r="F50" s="289"/>
      <c r="G50" s="21">
        <v>1</v>
      </c>
      <c r="H50" s="21" t="str">
        <f>VLOOKUP(B50,'Full Item list'!A:B,2,0)</f>
        <v>RE031F</v>
      </c>
      <c r="I50" s="21">
        <f>VLOOKUP(H50,'Full Item list'!B:J,9,0)</f>
        <v>2</v>
      </c>
      <c r="J50" s="21"/>
      <c r="K50" s="21" t="str">
        <f>VLOOKUP(H50,'Full Item list'!B:O,14,0)</f>
        <v>PCS</v>
      </c>
      <c r="L50" s="21"/>
      <c r="M50">
        <f t="shared" si="0"/>
        <v>0</v>
      </c>
      <c r="N50" t="e">
        <f>VLOOKUP(B50,#REF!,9,0)</f>
        <v>#REF!</v>
      </c>
      <c r="P50">
        <v>2</v>
      </c>
      <c r="R50">
        <f ca="1">OFFSET(F50,MATCH("Total Cost:",E50:E100,0)-1,0,1,1)/G50</f>
        <v>34.182110521155842</v>
      </c>
      <c r="U50" t="str">
        <f>VLOOKUP(H50,'Full Item list'!B:D,3,0)</f>
        <v>Product</v>
      </c>
      <c r="V50" t="s">
        <v>603</v>
      </c>
      <c r="W50" s="135" t="s">
        <v>604</v>
      </c>
      <c r="X50" t="s">
        <v>606</v>
      </c>
      <c r="AA50">
        <f>IFERROR(VLOOKUP(A50,'Capacity of production'!A:C,3,0),"")</f>
        <v>34</v>
      </c>
    </row>
    <row r="51" spans="1:27" ht="15" thickBot="1">
      <c r="B51" s="23" t="s">
        <v>319</v>
      </c>
      <c r="C51" s="24" t="s">
        <v>320</v>
      </c>
      <c r="D51" s="25" t="s">
        <v>321</v>
      </c>
      <c r="E51" s="25" t="s">
        <v>322</v>
      </c>
      <c r="F51" s="26" t="s">
        <v>323</v>
      </c>
      <c r="G51" s="27"/>
      <c r="H51" s="27"/>
      <c r="I51" s="27"/>
      <c r="J51" s="27"/>
      <c r="K51" s="27"/>
      <c r="L51" s="27"/>
      <c r="V51" t="s">
        <v>603</v>
      </c>
      <c r="W51" s="135" t="s">
        <v>604</v>
      </c>
      <c r="AA51" t="str">
        <f>IFERROR(VLOOKUP(A51,'Capacity of production'!A:C,3,0),"")</f>
        <v/>
      </c>
    </row>
    <row r="52" spans="1:27" ht="15.75" thickBot="1">
      <c r="B52" s="28" t="s">
        <v>324</v>
      </c>
      <c r="C52" s="47" t="s">
        <v>221</v>
      </c>
      <c r="D52" s="48">
        <v>0.35618878005342836</v>
      </c>
      <c r="E52" s="31">
        <f t="shared" ref="E52:E62" si="7">O52*D52</f>
        <v>1.3250222617987535</v>
      </c>
      <c r="F52" s="297"/>
      <c r="G52" s="32"/>
      <c r="H52" s="32" t="str">
        <f>VLOOKUP(B52,'Full Item list'!A:B,2,0)</f>
        <v>RE-290</v>
      </c>
      <c r="I52" s="32"/>
      <c r="J52" s="32" t="str">
        <f t="shared" ref="J52:J62" si="8">K52</f>
        <v>KG</v>
      </c>
      <c r="K52" s="32" t="str">
        <f>VLOOKUP(H52,'Full Item list'!B:O,14,0)</f>
        <v>KG</v>
      </c>
      <c r="L52" s="32"/>
      <c r="M52">
        <f t="shared" si="0"/>
        <v>1.6909090909090908E-2</v>
      </c>
      <c r="N52" t="e">
        <f>VLOOKUP(B52,#REF!,9,0)</f>
        <v>#REF!</v>
      </c>
      <c r="O52">
        <f>IFERROR(IF(J52="KG",VLOOKUP(H52,'Cost Price New'!D:E,2,0),VLOOKUP('BOMs setting'!H52,'Cost Price New'!D:I,6,0)),VLOOKUP(H52,A:R,18,0))</f>
        <v>3.72</v>
      </c>
      <c r="P52">
        <v>220</v>
      </c>
      <c r="Q52">
        <v>1</v>
      </c>
      <c r="V52" t="s">
        <v>603</v>
      </c>
      <c r="W52" s="135" t="s">
        <v>604</v>
      </c>
      <c r="AA52" t="str">
        <f>IFERROR(VLOOKUP(A52,'Capacity of production'!A:C,3,0),"")</f>
        <v/>
      </c>
    </row>
    <row r="53" spans="1:27" ht="15.75" thickBot="1">
      <c r="B53" s="33" t="s">
        <v>325</v>
      </c>
      <c r="C53" s="49" t="s">
        <v>223</v>
      </c>
      <c r="D53" s="50">
        <v>0.42742653606411396</v>
      </c>
      <c r="E53" s="31">
        <f t="shared" si="7"/>
        <v>1.1326803205699019</v>
      </c>
      <c r="F53" s="298"/>
      <c r="G53" s="36"/>
      <c r="H53" s="36" t="str">
        <f>VLOOKUP(B53,'Full Item list'!A:B,2,0)</f>
        <v>RE-300</v>
      </c>
      <c r="I53" s="36"/>
      <c r="J53" s="32" t="str">
        <f t="shared" si="8"/>
        <v>KG</v>
      </c>
      <c r="K53" s="36" t="str">
        <f>VLOOKUP(H53,'Full Item list'!B:O,14,0)</f>
        <v>KG</v>
      </c>
      <c r="L53" s="36"/>
      <c r="M53">
        <f t="shared" si="0"/>
        <v>1.2045454545454545E-2</v>
      </c>
      <c r="N53" t="e">
        <f>VLOOKUP(B53,#REF!,9,0)</f>
        <v>#REF!</v>
      </c>
      <c r="O53">
        <f>IFERROR(IF(J53="KG",VLOOKUP(H53,'Cost Price New'!D:E,2,0),VLOOKUP('BOMs setting'!H53,'Cost Price New'!D:I,6,0)),VLOOKUP(H53,A:R,18,0))</f>
        <v>2.65</v>
      </c>
      <c r="P53">
        <v>220</v>
      </c>
      <c r="Q53">
        <v>1</v>
      </c>
      <c r="V53" t="s">
        <v>603</v>
      </c>
      <c r="W53" s="135" t="s">
        <v>604</v>
      </c>
      <c r="AA53" t="str">
        <f>IFERROR(VLOOKUP(A53,'Capacity of production'!A:C,3,0),"")</f>
        <v/>
      </c>
    </row>
    <row r="54" spans="1:27" ht="15.75" thickBot="1">
      <c r="B54" s="33" t="s">
        <v>326</v>
      </c>
      <c r="C54" s="49" t="s">
        <v>238</v>
      </c>
      <c r="D54" s="50">
        <v>6.2333036509349959E-3</v>
      </c>
      <c r="E54" s="31">
        <f t="shared" si="7"/>
        <v>3.7773820124666076E-2</v>
      </c>
      <c r="F54" s="298"/>
      <c r="G54" s="36"/>
      <c r="H54" s="36" t="str">
        <f>VLOOKUP(B54,'Full Item list'!A:B,2,0)</f>
        <v>SF-160</v>
      </c>
      <c r="I54" s="36"/>
      <c r="J54" s="32" t="str">
        <f t="shared" si="8"/>
        <v>KG</v>
      </c>
      <c r="K54" s="36" t="str">
        <f>VLOOKUP(H54,'Full Item list'!B:O,14,0)</f>
        <v>KG</v>
      </c>
      <c r="L54" s="36"/>
      <c r="M54">
        <f t="shared" si="0"/>
        <v>0.24239999999999998</v>
      </c>
      <c r="N54" t="e">
        <f>VLOOKUP(B54,#REF!,9,0)</f>
        <v>#REF!</v>
      </c>
      <c r="O54">
        <f>IFERROR(IF(J54="KG",VLOOKUP(H54,'Cost Price New'!D:E,2,0),VLOOKUP('BOMs setting'!H54,'Cost Price New'!D:I,6,0)),VLOOKUP(H54,A:R,18,0))</f>
        <v>6.06</v>
      </c>
      <c r="P54">
        <v>25</v>
      </c>
      <c r="Q54">
        <v>1</v>
      </c>
      <c r="V54" t="s">
        <v>603</v>
      </c>
      <c r="W54" s="135" t="s">
        <v>604</v>
      </c>
      <c r="AA54" t="str">
        <f>IFERROR(VLOOKUP(A54,'Capacity of production'!A:C,3,0),"")</f>
        <v/>
      </c>
    </row>
    <row r="55" spans="1:27" ht="15.75" thickBot="1">
      <c r="B55" s="33" t="s">
        <v>327</v>
      </c>
      <c r="C55" s="49" t="s">
        <v>65</v>
      </c>
      <c r="D55" s="50">
        <v>1.7809439002671415E-3</v>
      </c>
      <c r="E55" s="31">
        <f t="shared" si="7"/>
        <v>1.659839715048976E-2</v>
      </c>
      <c r="F55" s="298"/>
      <c r="G55" s="36"/>
      <c r="H55" s="36" t="str">
        <f>VLOOKUP(B55,'Full Item list'!A:B,2,0)</f>
        <v>AD-320</v>
      </c>
      <c r="I55" s="36"/>
      <c r="J55" s="32" t="str">
        <f t="shared" si="8"/>
        <v>KG</v>
      </c>
      <c r="K55" s="36" t="str">
        <f>VLOOKUP(H55,'Full Item list'!B:O,14,0)</f>
        <v>KG</v>
      </c>
      <c r="L55" s="36"/>
      <c r="M55">
        <f t="shared" si="0"/>
        <v>0.37280000000000002</v>
      </c>
      <c r="N55" t="e">
        <f>VLOOKUP(B55,#REF!,9,0)</f>
        <v>#REF!</v>
      </c>
      <c r="O55">
        <f>IFERROR(IF(J55="KG",VLOOKUP(H55,'Cost Price New'!D:E,2,0),VLOOKUP('BOMs setting'!H55,'Cost Price New'!D:I,6,0)),VLOOKUP(H55,A:R,18,0))</f>
        <v>9.32</v>
      </c>
      <c r="P55">
        <v>25</v>
      </c>
      <c r="Q55">
        <v>1</v>
      </c>
      <c r="V55" t="s">
        <v>603</v>
      </c>
      <c r="W55" s="135" t="s">
        <v>604</v>
      </c>
      <c r="AA55" t="str">
        <f>IFERROR(VLOOKUP(A55,'Capacity of production'!A:C,3,0),"")</f>
        <v/>
      </c>
    </row>
    <row r="56" spans="1:27" ht="15.75" thickBot="1">
      <c r="B56" s="33" t="s">
        <v>328</v>
      </c>
      <c r="C56" s="49" t="s">
        <v>235</v>
      </c>
      <c r="D56" s="50">
        <v>6.2333036509349959E-3</v>
      </c>
      <c r="E56" s="31">
        <f t="shared" si="7"/>
        <v>5.0365093499554765E-2</v>
      </c>
      <c r="F56" s="298"/>
      <c r="G56" s="36"/>
      <c r="H56" s="36" t="str">
        <f>VLOOKUP(B56,'Full Item list'!A:B,2,0)</f>
        <v>SF-150</v>
      </c>
      <c r="I56" s="36"/>
      <c r="J56" s="32" t="str">
        <f t="shared" si="8"/>
        <v>KG</v>
      </c>
      <c r="K56" s="36" t="str">
        <f>VLOOKUP(H56,'Full Item list'!B:O,14,0)</f>
        <v>KG</v>
      </c>
      <c r="L56" s="36"/>
      <c r="M56">
        <f t="shared" si="0"/>
        <v>0.32319999999999999</v>
      </c>
      <c r="N56" t="e">
        <f>VLOOKUP(B56,#REF!,9,0)</f>
        <v>#REF!</v>
      </c>
      <c r="O56">
        <f>IFERROR(IF(J56="KG",VLOOKUP(H56,'Cost Price New'!D:E,2,0),VLOOKUP('BOMs setting'!H56,'Cost Price New'!D:I,6,0)),VLOOKUP(H56,A:R,18,0))</f>
        <v>8.08</v>
      </c>
      <c r="P56">
        <v>25</v>
      </c>
      <c r="Q56">
        <v>1</v>
      </c>
      <c r="V56" t="s">
        <v>603</v>
      </c>
      <c r="W56" s="135" t="s">
        <v>604</v>
      </c>
      <c r="AA56" t="str">
        <f>IFERROR(VLOOKUP(A56,'Capacity of production'!A:C,3,0),"")</f>
        <v/>
      </c>
    </row>
    <row r="57" spans="1:27" ht="15.75" thickBot="1">
      <c r="B57" s="33" t="s">
        <v>329</v>
      </c>
      <c r="C57" s="49" t="s">
        <v>194</v>
      </c>
      <c r="D57" s="50">
        <v>1.1041852181656278E-2</v>
      </c>
      <c r="E57" s="31">
        <f t="shared" si="7"/>
        <v>3.2352626892252899E-2</v>
      </c>
      <c r="F57" s="298"/>
      <c r="G57" s="36"/>
      <c r="H57" s="36" t="str">
        <f>VLOOKUP(B57,'Full Item list'!A:B,2,0)</f>
        <v>PG-470</v>
      </c>
      <c r="I57" s="36"/>
      <c r="J57" s="32" t="str">
        <f t="shared" si="8"/>
        <v>KG</v>
      </c>
      <c r="K57" s="36" t="str">
        <f>VLOOKUP(H57,'Full Item list'!B:O,14,0)</f>
        <v>KG</v>
      </c>
      <c r="L57" s="36"/>
      <c r="M57">
        <f t="shared" si="0"/>
        <v>0.11720000000000001</v>
      </c>
      <c r="N57" t="e">
        <f>VLOOKUP(B57,#REF!,9,0)</f>
        <v>#REF!</v>
      </c>
      <c r="O57">
        <f>IFERROR(IF(J57="KG",VLOOKUP(H57,'Cost Price New'!D:E,2,0),VLOOKUP('BOMs setting'!H57,'Cost Price New'!D:I,6,0)),VLOOKUP(H57,A:R,18,0))</f>
        <v>2.93</v>
      </c>
      <c r="P57">
        <v>25</v>
      </c>
      <c r="Q57">
        <v>1</v>
      </c>
      <c r="V57" t="s">
        <v>603</v>
      </c>
      <c r="W57" s="135" t="s">
        <v>604</v>
      </c>
      <c r="AA57" t="str">
        <f>IFERROR(VLOOKUP(A57,'Capacity of production'!A:C,3,0),"")</f>
        <v/>
      </c>
    </row>
    <row r="58" spans="1:27" ht="15.75" thickBot="1">
      <c r="B58" s="33" t="s">
        <v>330</v>
      </c>
      <c r="C58" s="49" t="s">
        <v>192</v>
      </c>
      <c r="D58" s="50">
        <v>0.11362422083704363</v>
      </c>
      <c r="E58" s="31">
        <f t="shared" si="7"/>
        <v>0.71583259127337484</v>
      </c>
      <c r="F58" s="299"/>
      <c r="G58" s="37"/>
      <c r="H58" s="37" t="str">
        <f>VLOOKUP(B58,'Full Item list'!A:B,2,0)</f>
        <v>PG-461</v>
      </c>
      <c r="I58" s="37"/>
      <c r="J58" s="32" t="str">
        <f t="shared" si="8"/>
        <v>KG</v>
      </c>
      <c r="K58" s="37" t="str">
        <f>VLOOKUP(H58,'Full Item list'!B:O,14,0)</f>
        <v>KG</v>
      </c>
      <c r="L58" s="37"/>
      <c r="M58">
        <f t="shared" si="0"/>
        <v>0.252</v>
      </c>
      <c r="N58" t="e">
        <f>VLOOKUP(B58,#REF!,9,0)</f>
        <v>#REF!</v>
      </c>
      <c r="O58">
        <f>IFERROR(IF(J58="KG",VLOOKUP(H58,'Cost Price New'!D:E,2,0),VLOOKUP('BOMs setting'!H58,'Cost Price New'!D:I,6,0)),VLOOKUP(H58,A:R,18,0))</f>
        <v>6.3</v>
      </c>
      <c r="P58">
        <v>25</v>
      </c>
      <c r="Q58">
        <v>1</v>
      </c>
      <c r="V58" t="s">
        <v>603</v>
      </c>
      <c r="W58" s="135" t="s">
        <v>604</v>
      </c>
      <c r="AA58" t="str">
        <f>IFERROR(VLOOKUP(A58,'Capacity of production'!A:C,3,0),"")</f>
        <v/>
      </c>
    </row>
    <row r="59" spans="1:27" ht="15.75" thickBot="1">
      <c r="B59" s="33" t="s">
        <v>331</v>
      </c>
      <c r="C59" s="49" t="s">
        <v>332</v>
      </c>
      <c r="D59" s="50">
        <v>0.3205699020480855</v>
      </c>
      <c r="E59" s="31">
        <f t="shared" si="7"/>
        <v>3.0293855743544078E-2</v>
      </c>
      <c r="F59" s="299"/>
      <c r="G59" s="37"/>
      <c r="H59" s="37" t="str">
        <f>VLOOKUP(B59,'Full Item list'!A:B,2,0)</f>
        <v>TS-440</v>
      </c>
      <c r="I59" s="37"/>
      <c r="J59" s="32" t="str">
        <f t="shared" si="8"/>
        <v>KG</v>
      </c>
      <c r="K59" s="37" t="str">
        <f>VLOOKUP(H59,'Full Item list'!B:O,14,0)</f>
        <v>KG</v>
      </c>
      <c r="L59" s="37"/>
      <c r="M59">
        <f t="shared" si="0"/>
        <v>3.7799999999999999E-3</v>
      </c>
      <c r="N59" t="e">
        <f>VLOOKUP(B59,#REF!,9,0)</f>
        <v>#REF!</v>
      </c>
      <c r="O59">
        <f>IFERROR(IF(J59="KG",VLOOKUP(H59,'Cost Price New'!D:E,2,0),VLOOKUP('BOMs setting'!H59,'Cost Price New'!D:I,6,0)),VLOOKUP(H59,A:R,18,0))</f>
        <v>9.4500000000000001E-2</v>
      </c>
      <c r="P59">
        <v>25</v>
      </c>
      <c r="Q59">
        <v>1</v>
      </c>
      <c r="V59" t="s">
        <v>603</v>
      </c>
      <c r="W59" s="135" t="s">
        <v>604</v>
      </c>
      <c r="AA59" t="str">
        <f>IFERROR(VLOOKUP(A59,'Capacity of production'!A:C,3,0),"")</f>
        <v/>
      </c>
    </row>
    <row r="60" spans="1:27" ht="15.75" thickBot="1">
      <c r="B60" s="38" t="s">
        <v>333</v>
      </c>
      <c r="C60" s="51" t="s">
        <v>127</v>
      </c>
      <c r="D60" s="52">
        <v>0.40071237756010686</v>
      </c>
      <c r="E60" s="31">
        <f t="shared" si="7"/>
        <v>0.1811219946571683</v>
      </c>
      <c r="F60" s="300"/>
      <c r="G60" s="37"/>
      <c r="H60" s="37" t="str">
        <f>VLOOKUP(B60,'Full Item list'!A:B,2,0)</f>
        <v>FT-680</v>
      </c>
      <c r="I60" s="37"/>
      <c r="J60" s="32" t="str">
        <f t="shared" si="8"/>
        <v>KG</v>
      </c>
      <c r="K60" s="37" t="str">
        <f>VLOOKUP(H60,'Full Item list'!B:O,14,0)</f>
        <v>KG</v>
      </c>
      <c r="L60" s="37"/>
      <c r="M60">
        <f t="shared" si="0"/>
        <v>1.8079999999999999E-2</v>
      </c>
      <c r="N60" t="e">
        <f>VLOOKUP(B60,#REF!,9,0)</f>
        <v>#REF!</v>
      </c>
      <c r="O60">
        <f>IFERROR(IF(J60="KG",VLOOKUP(H60,'Cost Price New'!D:E,2,0),VLOOKUP('BOMs setting'!H60,'Cost Price New'!D:I,6,0)),VLOOKUP(H60,A:R,18,0))</f>
        <v>0.45200000000000001</v>
      </c>
      <c r="P60">
        <v>25</v>
      </c>
      <c r="Q60">
        <v>1</v>
      </c>
      <c r="V60" t="s">
        <v>603</v>
      </c>
      <c r="W60" s="135" t="s">
        <v>604</v>
      </c>
      <c r="AA60" t="str">
        <f>IFERROR(VLOOKUP(A60,'Capacity of production'!A:C,3,0),"")</f>
        <v/>
      </c>
    </row>
    <row r="61" spans="1:27" ht="15.75" thickBot="1">
      <c r="B61" s="41" t="s">
        <v>335</v>
      </c>
      <c r="C61" s="42" t="s">
        <v>103</v>
      </c>
      <c r="D61" s="43">
        <v>0.35618878005342836</v>
      </c>
      <c r="E61" s="31">
        <f t="shared" si="7"/>
        <v>1.7738201246660734</v>
      </c>
      <c r="F61" s="45"/>
      <c r="G61" s="32"/>
      <c r="H61" s="32" t="str">
        <f>VLOOKUP(B61,'Full Item list'!A:B,2,0)</f>
        <v>CT-670</v>
      </c>
      <c r="I61" s="32"/>
      <c r="J61" s="32" t="str">
        <f t="shared" si="8"/>
        <v>KG</v>
      </c>
      <c r="K61" s="32" t="str">
        <f>VLOOKUP(H61,'Full Item list'!B:O,14,0)</f>
        <v>KG</v>
      </c>
      <c r="L61" s="32"/>
      <c r="M61">
        <f t="shared" si="0"/>
        <v>2.3714285714285716E-2</v>
      </c>
      <c r="N61" t="e">
        <f>VLOOKUP(B61,#REF!,9,0)</f>
        <v>#REF!</v>
      </c>
      <c r="O61">
        <f>IFERROR(IF(J61="KG",VLOOKUP(H61,'Cost Price New'!D:E,2,0),VLOOKUP('BOMs setting'!H61,'Cost Price New'!D:I,6,0)),VLOOKUP(H61,A:R,18,0))</f>
        <v>4.9800000000000004</v>
      </c>
      <c r="P61">
        <v>210</v>
      </c>
      <c r="Q61">
        <v>1</v>
      </c>
      <c r="V61" t="s">
        <v>603</v>
      </c>
      <c r="W61" s="135" t="s">
        <v>604</v>
      </c>
      <c r="AA61" t="str">
        <f>IFERROR(VLOOKUP(A61,'Capacity of production'!A:C,3,0),"")</f>
        <v/>
      </c>
    </row>
    <row r="62" spans="1:27" ht="15.75" thickBot="1">
      <c r="B62" s="41" t="s">
        <v>311</v>
      </c>
      <c r="C62" s="42" t="s">
        <v>313</v>
      </c>
      <c r="D62" s="284">
        <f>I50/AA50</f>
        <v>5.8823529411764705E-2</v>
      </c>
      <c r="E62" s="31">
        <f t="shared" si="7"/>
        <v>28.886249434780062</v>
      </c>
      <c r="F62" s="45" t="s">
        <v>782</v>
      </c>
      <c r="G62" s="32"/>
      <c r="H62" s="32" t="str">
        <f>VLOOKUP(B62,'Full Item list'!A:B,2,0)</f>
        <v>LAB/OH-Resin</v>
      </c>
      <c r="I62" s="32"/>
      <c r="J62" s="32" t="str">
        <f t="shared" si="8"/>
        <v>H</v>
      </c>
      <c r="K62" s="32" t="str">
        <f>VLOOKUP(H62,'Full Item list'!B:O,14,0)</f>
        <v>H</v>
      </c>
      <c r="L62" s="32"/>
      <c r="O62">
        <f>IFERROR(IF(J62="KG",VLOOKUP(H62,'Cost Price New'!D:E,2,0),VLOOKUP('BOMs setting'!H62,'Cost Price New'!D:I,6,0)),VLOOKUP(H62,A:R,18,0))</f>
        <v>491.06624039126103</v>
      </c>
      <c r="V62" t="s">
        <v>603</v>
      </c>
      <c r="W62" s="135" t="s">
        <v>604</v>
      </c>
      <c r="AA62" t="str">
        <f>IFERROR(VLOOKUP(A62,'Capacity of production'!A:C,3,0),"")</f>
        <v/>
      </c>
    </row>
    <row r="63" spans="1:27" ht="15">
      <c r="B63" s="105"/>
      <c r="C63" s="104"/>
      <c r="D63" s="46"/>
      <c r="E63" s="56" t="s">
        <v>466</v>
      </c>
      <c r="F63" s="56">
        <f>SUM(E52:E62)</f>
        <v>34.182110521155842</v>
      </c>
      <c r="G63" s="32"/>
      <c r="H63" s="32"/>
      <c r="I63" s="32"/>
      <c r="J63" s="32"/>
      <c r="K63" s="32"/>
      <c r="L63" s="32"/>
      <c r="V63" t="s">
        <v>603</v>
      </c>
      <c r="W63" s="135" t="s">
        <v>604</v>
      </c>
      <c r="AA63" t="str">
        <f>IFERROR(VLOOKUP(A63,'Capacity of production'!A:C,3,0),"")</f>
        <v/>
      </c>
    </row>
    <row r="64" spans="1:27" ht="15.75" thickBot="1">
      <c r="B64" s="54"/>
      <c r="C64" s="55"/>
      <c r="D64" s="56"/>
      <c r="E64" s="56"/>
      <c r="F64" s="55"/>
      <c r="G64" s="55"/>
      <c r="H64" s="55"/>
      <c r="I64" s="55"/>
      <c r="J64" s="55"/>
      <c r="K64" s="55"/>
      <c r="L64" s="55"/>
      <c r="V64" t="s">
        <v>603</v>
      </c>
      <c r="W64" s="135" t="s">
        <v>604</v>
      </c>
      <c r="AA64" t="str">
        <f>IFERROR(VLOOKUP(A64,'Capacity of production'!A:C,3,0),"")</f>
        <v/>
      </c>
    </row>
    <row r="65" spans="1:27" ht="16.5" thickBot="1">
      <c r="A65" s="103" t="s">
        <v>209</v>
      </c>
      <c r="B65" s="20" t="s">
        <v>209</v>
      </c>
      <c r="C65" s="288" t="str">
        <f>VLOOKUP(A65,'All products'!A:B,2,0)</f>
        <v>TECNOPOX-P (A+B 5KG)</v>
      </c>
      <c r="D65" s="288"/>
      <c r="E65" s="288"/>
      <c r="F65" s="289"/>
      <c r="G65" s="21">
        <v>1</v>
      </c>
      <c r="H65" s="21" t="str">
        <f>VLOOKUP(B65,'Full Item list'!A:B,2,0)</f>
        <v>RE040F</v>
      </c>
      <c r="I65" s="21">
        <f>VLOOKUP(H65,'Full Item list'!B:J,9,0)</f>
        <v>5</v>
      </c>
      <c r="J65" s="21"/>
      <c r="K65" s="21" t="str">
        <f>VLOOKUP(H65,'Full Item list'!B:O,14,0)</f>
        <v>PCS</v>
      </c>
      <c r="L65" s="21"/>
      <c r="M65">
        <f t="shared" si="0"/>
        <v>0</v>
      </c>
      <c r="N65" t="e">
        <f>VLOOKUP(B65,#REF!,9,0)</f>
        <v>#REF!</v>
      </c>
      <c r="P65">
        <v>5</v>
      </c>
      <c r="R65">
        <f ca="1">OFFSET(F65,MATCH("Total Cost:",E65:E115,0)-1,0,1,1)/G65</f>
        <v>74.622932764847079</v>
      </c>
      <c r="U65" t="str">
        <f>VLOOKUP(H65,'Full Item list'!B:D,3,0)</f>
        <v>Product</v>
      </c>
      <c r="V65" t="s">
        <v>603</v>
      </c>
      <c r="W65" s="135" t="s">
        <v>604</v>
      </c>
      <c r="X65" t="s">
        <v>606</v>
      </c>
      <c r="AA65">
        <f>IFERROR(VLOOKUP(A65,'Capacity of production'!A:C,3,0),"")</f>
        <v>40</v>
      </c>
    </row>
    <row r="66" spans="1:27" ht="15" thickBot="1">
      <c r="B66" s="23" t="s">
        <v>319</v>
      </c>
      <c r="C66" s="24" t="s">
        <v>320</v>
      </c>
      <c r="D66" s="25" t="s">
        <v>321</v>
      </c>
      <c r="E66" s="25" t="s">
        <v>322</v>
      </c>
      <c r="F66" s="26" t="s">
        <v>323</v>
      </c>
      <c r="G66" s="27"/>
      <c r="H66" s="27"/>
      <c r="I66" s="27"/>
      <c r="J66" s="27"/>
      <c r="K66" s="27"/>
      <c r="L66" s="27"/>
      <c r="V66" t="s">
        <v>603</v>
      </c>
      <c r="W66" s="135" t="s">
        <v>604</v>
      </c>
      <c r="AA66" t="str">
        <f>IFERROR(VLOOKUP(A66,'Capacity of production'!A:C,3,0),"")</f>
        <v/>
      </c>
    </row>
    <row r="67" spans="1:27" ht="15.75" thickBot="1">
      <c r="B67" s="28" t="s">
        <v>324</v>
      </c>
      <c r="C67" s="47" t="s">
        <v>221</v>
      </c>
      <c r="D67" s="48">
        <v>0.89047195013357094</v>
      </c>
      <c r="E67" s="31">
        <f t="shared" ref="E67:E77" si="9">O67*D67</f>
        <v>3.3125556544968839</v>
      </c>
      <c r="F67" s="297"/>
      <c r="G67" s="32"/>
      <c r="H67" s="32" t="str">
        <f>VLOOKUP(B67,'Full Item list'!A:B,2,0)</f>
        <v>RE-290</v>
      </c>
      <c r="I67" s="32"/>
      <c r="J67" s="32" t="str">
        <f t="shared" ref="J67:J77" si="10">K67</f>
        <v>KG</v>
      </c>
      <c r="K67" s="32" t="str">
        <f>VLOOKUP(H67,'Full Item list'!B:O,14,0)</f>
        <v>KG</v>
      </c>
      <c r="L67" s="32"/>
      <c r="M67">
        <f t="shared" si="0"/>
        <v>1.6909090909090908E-2</v>
      </c>
      <c r="N67" t="e">
        <f>VLOOKUP(B67,#REF!,9,0)</f>
        <v>#REF!</v>
      </c>
      <c r="O67">
        <f>IFERROR(IF(J67="KG",VLOOKUP(H67,'Cost Price New'!D:E,2,0),VLOOKUP('BOMs setting'!H67,'Cost Price New'!D:I,6,0)),VLOOKUP(H67,A:R,18,0))</f>
        <v>3.72</v>
      </c>
      <c r="P67">
        <v>220</v>
      </c>
      <c r="Q67">
        <v>1</v>
      </c>
      <c r="V67" t="s">
        <v>603</v>
      </c>
      <c r="W67" s="135" t="s">
        <v>604</v>
      </c>
      <c r="AA67" t="str">
        <f>IFERROR(VLOOKUP(A67,'Capacity of production'!A:C,3,0),"")</f>
        <v/>
      </c>
    </row>
    <row r="68" spans="1:27" ht="15.75" thickBot="1">
      <c r="B68" s="33" t="s">
        <v>325</v>
      </c>
      <c r="C68" s="49" t="s">
        <v>223</v>
      </c>
      <c r="D68" s="50">
        <v>1.068566340160285</v>
      </c>
      <c r="E68" s="31">
        <f t="shared" si="9"/>
        <v>2.8317008014247551</v>
      </c>
      <c r="F68" s="298"/>
      <c r="G68" s="36"/>
      <c r="H68" s="36" t="str">
        <f>VLOOKUP(B68,'Full Item list'!A:B,2,0)</f>
        <v>RE-300</v>
      </c>
      <c r="I68" s="36"/>
      <c r="J68" s="32" t="str">
        <f t="shared" si="10"/>
        <v>KG</v>
      </c>
      <c r="K68" s="36" t="str">
        <f>VLOOKUP(H68,'Full Item list'!B:O,14,0)</f>
        <v>KG</v>
      </c>
      <c r="L68" s="36"/>
      <c r="M68">
        <f t="shared" si="0"/>
        <v>1.1777777777777778E-2</v>
      </c>
      <c r="N68" t="e">
        <f>VLOOKUP(B68,#REF!,9,0)</f>
        <v>#REF!</v>
      </c>
      <c r="O68">
        <f>IFERROR(IF(J68="KG",VLOOKUP(H68,'Cost Price New'!D:E,2,0),VLOOKUP('BOMs setting'!H68,'Cost Price New'!D:I,6,0)),VLOOKUP(H68,A:R,18,0))</f>
        <v>2.65</v>
      </c>
      <c r="P68">
        <v>225</v>
      </c>
      <c r="Q68">
        <v>1</v>
      </c>
      <c r="V68" t="s">
        <v>603</v>
      </c>
      <c r="W68" s="135" t="s">
        <v>604</v>
      </c>
      <c r="AA68" t="str">
        <f>IFERROR(VLOOKUP(A68,'Capacity of production'!A:C,3,0),"")</f>
        <v/>
      </c>
    </row>
    <row r="69" spans="1:27" ht="15.75" thickBot="1">
      <c r="B69" s="33" t="s">
        <v>326</v>
      </c>
      <c r="C69" s="49" t="s">
        <v>238</v>
      </c>
      <c r="D69" s="50">
        <v>1.558325912733749E-2</v>
      </c>
      <c r="E69" s="31">
        <f t="shared" si="9"/>
        <v>9.4434550311665186E-2</v>
      </c>
      <c r="F69" s="298"/>
      <c r="G69" s="36"/>
      <c r="H69" s="36" t="str">
        <f>VLOOKUP(B69,'Full Item list'!A:B,2,0)</f>
        <v>SF-160</v>
      </c>
      <c r="I69" s="36"/>
      <c r="J69" s="32" t="str">
        <f t="shared" si="10"/>
        <v>KG</v>
      </c>
      <c r="K69" s="36" t="str">
        <f>VLOOKUP(H69,'Full Item list'!B:O,14,0)</f>
        <v>KG</v>
      </c>
      <c r="L69" s="36"/>
      <c r="M69">
        <f t="shared" si="0"/>
        <v>0.24239999999999998</v>
      </c>
      <c r="N69" t="e">
        <f>VLOOKUP(B69,#REF!,9,0)</f>
        <v>#REF!</v>
      </c>
      <c r="O69">
        <f>IFERROR(IF(J69="KG",VLOOKUP(H69,'Cost Price New'!D:E,2,0),VLOOKUP('BOMs setting'!H69,'Cost Price New'!D:I,6,0)),VLOOKUP(H69,A:R,18,0))</f>
        <v>6.06</v>
      </c>
      <c r="P69">
        <v>25</v>
      </c>
      <c r="Q69">
        <v>1</v>
      </c>
      <c r="V69" t="s">
        <v>603</v>
      </c>
      <c r="W69" s="135" t="s">
        <v>604</v>
      </c>
      <c r="AA69" t="str">
        <f>IFERROR(VLOOKUP(A69,'Capacity of production'!A:C,3,0),"")</f>
        <v/>
      </c>
    </row>
    <row r="70" spans="1:27" ht="15.75" thickBot="1">
      <c r="B70" s="33" t="s">
        <v>327</v>
      </c>
      <c r="C70" s="49" t="s">
        <v>65</v>
      </c>
      <c r="D70" s="50">
        <v>4.4523597506678537E-3</v>
      </c>
      <c r="E70" s="31">
        <f t="shared" si="9"/>
        <v>4.1495992876224401E-2</v>
      </c>
      <c r="F70" s="298"/>
      <c r="G70" s="36"/>
      <c r="H70" s="36" t="str">
        <f>VLOOKUP(B70,'Full Item list'!A:B,2,0)</f>
        <v>AD-320</v>
      </c>
      <c r="I70" s="36"/>
      <c r="J70" s="32" t="str">
        <f t="shared" si="10"/>
        <v>KG</v>
      </c>
      <c r="K70" s="36" t="str">
        <f>VLOOKUP(H70,'Full Item list'!B:O,14,0)</f>
        <v>KG</v>
      </c>
      <c r="L70" s="36"/>
      <c r="M70">
        <f t="shared" si="0"/>
        <v>0.37280000000000002</v>
      </c>
      <c r="N70" t="e">
        <f>VLOOKUP(B70,#REF!,9,0)</f>
        <v>#REF!</v>
      </c>
      <c r="O70">
        <f>IFERROR(IF(J70="KG",VLOOKUP(H70,'Cost Price New'!D:E,2,0),VLOOKUP('BOMs setting'!H70,'Cost Price New'!D:I,6,0)),VLOOKUP(H70,A:R,18,0))</f>
        <v>9.32</v>
      </c>
      <c r="P70">
        <v>25</v>
      </c>
      <c r="Q70">
        <v>1</v>
      </c>
      <c r="V70" t="s">
        <v>603</v>
      </c>
      <c r="W70" s="135" t="s">
        <v>604</v>
      </c>
      <c r="AA70" t="str">
        <f>IFERROR(VLOOKUP(A70,'Capacity of production'!A:C,3,0),"")</f>
        <v/>
      </c>
    </row>
    <row r="71" spans="1:27" ht="15.75" thickBot="1">
      <c r="B71" s="33" t="s">
        <v>328</v>
      </c>
      <c r="C71" s="49" t="s">
        <v>235</v>
      </c>
      <c r="D71" s="50">
        <v>1.558325912733749E-2</v>
      </c>
      <c r="E71" s="31">
        <f t="shared" si="9"/>
        <v>0.12591273374888692</v>
      </c>
      <c r="F71" s="298"/>
      <c r="G71" s="36"/>
      <c r="H71" s="36" t="str">
        <f>VLOOKUP(B71,'Full Item list'!A:B,2,0)</f>
        <v>SF-150</v>
      </c>
      <c r="I71" s="36"/>
      <c r="J71" s="32" t="str">
        <f t="shared" si="10"/>
        <v>KG</v>
      </c>
      <c r="K71" s="36" t="str">
        <f>VLOOKUP(H71,'Full Item list'!B:O,14,0)</f>
        <v>KG</v>
      </c>
      <c r="L71" s="36"/>
      <c r="M71">
        <f t="shared" ref="M71:M141" si="11">O71/P71</f>
        <v>0.32319999999999999</v>
      </c>
      <c r="N71" t="e">
        <f>VLOOKUP(B71,#REF!,9,0)</f>
        <v>#REF!</v>
      </c>
      <c r="O71">
        <f>IFERROR(IF(J71="KG",VLOOKUP(H71,'Cost Price New'!D:E,2,0),VLOOKUP('BOMs setting'!H71,'Cost Price New'!D:I,6,0)),VLOOKUP(H71,A:R,18,0))</f>
        <v>8.08</v>
      </c>
      <c r="P71">
        <v>25</v>
      </c>
      <c r="Q71">
        <v>1</v>
      </c>
      <c r="V71" t="s">
        <v>603</v>
      </c>
      <c r="W71" s="135" t="s">
        <v>604</v>
      </c>
      <c r="AA71" t="str">
        <f>IFERROR(VLOOKUP(A71,'Capacity of production'!A:C,3,0),"")</f>
        <v/>
      </c>
    </row>
    <row r="72" spans="1:27" ht="15.75" thickBot="1">
      <c r="B72" s="33" t="s">
        <v>329</v>
      </c>
      <c r="C72" s="49" t="s">
        <v>194</v>
      </c>
      <c r="D72" s="50">
        <v>2.7604630454140695E-2</v>
      </c>
      <c r="E72" s="31">
        <f t="shared" si="9"/>
        <v>8.0881567230632237E-2</v>
      </c>
      <c r="F72" s="298"/>
      <c r="G72" s="36"/>
      <c r="H72" s="36" t="str">
        <f>VLOOKUP(B72,'Full Item list'!A:B,2,0)</f>
        <v>PG-470</v>
      </c>
      <c r="I72" s="36"/>
      <c r="J72" s="32" t="str">
        <f t="shared" si="10"/>
        <v>KG</v>
      </c>
      <c r="K72" s="36" t="str">
        <f>VLOOKUP(H72,'Full Item list'!B:O,14,0)</f>
        <v>KG</v>
      </c>
      <c r="L72" s="36"/>
      <c r="M72">
        <f t="shared" si="11"/>
        <v>0.11720000000000001</v>
      </c>
      <c r="N72" t="e">
        <f>VLOOKUP(B72,#REF!,9,0)</f>
        <v>#REF!</v>
      </c>
      <c r="O72">
        <f>IFERROR(IF(J72="KG",VLOOKUP(H72,'Cost Price New'!D:E,2,0),VLOOKUP('BOMs setting'!H72,'Cost Price New'!D:I,6,0)),VLOOKUP(H72,A:R,18,0))</f>
        <v>2.93</v>
      </c>
      <c r="P72">
        <v>25</v>
      </c>
      <c r="Q72">
        <v>1</v>
      </c>
      <c r="V72" t="s">
        <v>603</v>
      </c>
      <c r="W72" s="135" t="s">
        <v>604</v>
      </c>
      <c r="AA72" t="str">
        <f>IFERROR(VLOOKUP(A72,'Capacity of production'!A:C,3,0),"")</f>
        <v/>
      </c>
    </row>
    <row r="73" spans="1:27" ht="15.75" thickBot="1">
      <c r="B73" s="33" t="s">
        <v>330</v>
      </c>
      <c r="C73" s="49" t="s">
        <v>192</v>
      </c>
      <c r="D73" s="50">
        <v>0.28406055209260905</v>
      </c>
      <c r="E73" s="31">
        <f t="shared" si="9"/>
        <v>1.7895814781834369</v>
      </c>
      <c r="F73" s="299"/>
      <c r="G73" s="37"/>
      <c r="H73" s="37" t="str">
        <f>VLOOKUP(B73,'Full Item list'!A:B,2,0)</f>
        <v>PG-461</v>
      </c>
      <c r="I73" s="37"/>
      <c r="J73" s="32" t="str">
        <f t="shared" si="10"/>
        <v>KG</v>
      </c>
      <c r="K73" s="37" t="str">
        <f>VLOOKUP(H73,'Full Item list'!B:O,14,0)</f>
        <v>KG</v>
      </c>
      <c r="L73" s="37"/>
      <c r="M73">
        <f t="shared" si="11"/>
        <v>0.252</v>
      </c>
      <c r="N73" t="e">
        <f>VLOOKUP(B73,#REF!,9,0)</f>
        <v>#REF!</v>
      </c>
      <c r="O73">
        <f>IFERROR(IF(J73="KG",VLOOKUP(H73,'Cost Price New'!D:E,2,0),VLOOKUP('BOMs setting'!H73,'Cost Price New'!D:I,6,0)),VLOOKUP(H73,A:R,18,0))</f>
        <v>6.3</v>
      </c>
      <c r="P73">
        <v>25</v>
      </c>
      <c r="Q73">
        <v>1</v>
      </c>
      <c r="V73" t="s">
        <v>603</v>
      </c>
      <c r="W73" s="135" t="s">
        <v>604</v>
      </c>
      <c r="AA73" t="str">
        <f>IFERROR(VLOOKUP(A73,'Capacity of production'!A:C,3,0),"")</f>
        <v/>
      </c>
    </row>
    <row r="74" spans="1:27" ht="15.75" thickBot="1">
      <c r="B74" s="33" t="s">
        <v>331</v>
      </c>
      <c r="C74" s="49" t="s">
        <v>332</v>
      </c>
      <c r="D74" s="50">
        <v>0.80142475512021372</v>
      </c>
      <c r="E74" s="31">
        <f t="shared" si="9"/>
        <v>7.5734639358860198E-2</v>
      </c>
      <c r="F74" s="299"/>
      <c r="G74" s="37"/>
      <c r="H74" s="37" t="str">
        <f>VLOOKUP(B74,'Full Item list'!A:B,2,0)</f>
        <v>TS-440</v>
      </c>
      <c r="I74" s="37"/>
      <c r="J74" s="32" t="str">
        <f t="shared" si="10"/>
        <v>KG</v>
      </c>
      <c r="K74" s="37" t="str">
        <f>VLOOKUP(H74,'Full Item list'!B:O,14,0)</f>
        <v>KG</v>
      </c>
      <c r="L74" s="37"/>
      <c r="M74">
        <f t="shared" si="11"/>
        <v>3.7799999999999999E-3</v>
      </c>
      <c r="N74" t="e">
        <f>VLOOKUP(B74,#REF!,9,0)</f>
        <v>#REF!</v>
      </c>
      <c r="O74">
        <f>IFERROR(IF(J74="KG",VLOOKUP(H74,'Cost Price New'!D:E,2,0),VLOOKUP('BOMs setting'!H74,'Cost Price New'!D:I,6,0)),VLOOKUP(H74,A:R,18,0))</f>
        <v>9.4500000000000001E-2</v>
      </c>
      <c r="P74">
        <v>25</v>
      </c>
      <c r="Q74">
        <v>1</v>
      </c>
      <c r="V74" t="s">
        <v>603</v>
      </c>
      <c r="W74" s="135" t="s">
        <v>604</v>
      </c>
      <c r="AA74" t="str">
        <f>IFERROR(VLOOKUP(A74,'Capacity of production'!A:C,3,0),"")</f>
        <v/>
      </c>
    </row>
    <row r="75" spans="1:27" ht="15.75" thickBot="1">
      <c r="B75" s="38" t="s">
        <v>333</v>
      </c>
      <c r="C75" s="51" t="s">
        <v>127</v>
      </c>
      <c r="D75" s="52">
        <v>1.0017809439002672</v>
      </c>
      <c r="E75" s="31">
        <f t="shared" si="9"/>
        <v>0.45280498664292079</v>
      </c>
      <c r="F75" s="300"/>
      <c r="G75" s="37"/>
      <c r="H75" s="37" t="str">
        <f>VLOOKUP(B75,'Full Item list'!A:B,2,0)</f>
        <v>FT-680</v>
      </c>
      <c r="I75" s="37"/>
      <c r="J75" s="32" t="str">
        <f t="shared" si="10"/>
        <v>KG</v>
      </c>
      <c r="K75" s="37" t="str">
        <f>VLOOKUP(H75,'Full Item list'!B:O,14,0)</f>
        <v>KG</v>
      </c>
      <c r="L75" s="37"/>
      <c r="M75">
        <f t="shared" si="11"/>
        <v>1.8079999999999999E-2</v>
      </c>
      <c r="N75" t="e">
        <f>VLOOKUP(B75,#REF!,9,0)</f>
        <v>#REF!</v>
      </c>
      <c r="O75">
        <f>IFERROR(IF(J75="KG",VLOOKUP(H75,'Cost Price New'!D:E,2,0),VLOOKUP('BOMs setting'!H75,'Cost Price New'!D:I,6,0)),VLOOKUP(H75,A:R,18,0))</f>
        <v>0.45200000000000001</v>
      </c>
      <c r="P75">
        <v>25</v>
      </c>
      <c r="Q75">
        <v>1</v>
      </c>
      <c r="V75" t="s">
        <v>603</v>
      </c>
      <c r="W75" s="135" t="s">
        <v>604</v>
      </c>
      <c r="AA75" t="str">
        <f>IFERROR(VLOOKUP(A75,'Capacity of production'!A:C,3,0),"")</f>
        <v/>
      </c>
    </row>
    <row r="76" spans="1:27" ht="15.75" thickBot="1">
      <c r="B76" s="41" t="s">
        <v>335</v>
      </c>
      <c r="C76" s="42" t="s">
        <v>103</v>
      </c>
      <c r="D76" s="43">
        <v>0.89047195013357094</v>
      </c>
      <c r="E76" s="31">
        <f t="shared" si="9"/>
        <v>4.4345503116651841</v>
      </c>
      <c r="F76" s="45"/>
      <c r="G76" s="32"/>
      <c r="H76" s="32" t="str">
        <f>VLOOKUP(B76,'Full Item list'!A:B,2,0)</f>
        <v>CT-670</v>
      </c>
      <c r="I76" s="32"/>
      <c r="J76" s="32" t="str">
        <f t="shared" si="10"/>
        <v>KG</v>
      </c>
      <c r="K76" s="32" t="str">
        <f>VLOOKUP(H76,'Full Item list'!B:O,14,0)</f>
        <v>KG</v>
      </c>
      <c r="L76" s="32"/>
      <c r="M76">
        <f t="shared" si="11"/>
        <v>2.3714285714285716E-2</v>
      </c>
      <c r="N76" t="e">
        <f>VLOOKUP(B76,#REF!,9,0)</f>
        <v>#REF!</v>
      </c>
      <c r="O76">
        <f>IFERROR(IF(J76="KG",VLOOKUP(H76,'Cost Price New'!D:E,2,0),VLOOKUP('BOMs setting'!H76,'Cost Price New'!D:I,6,0)),VLOOKUP(H76,A:R,18,0))</f>
        <v>4.9800000000000004</v>
      </c>
      <c r="P76">
        <v>210</v>
      </c>
      <c r="Q76">
        <v>1</v>
      </c>
      <c r="V76" t="s">
        <v>603</v>
      </c>
      <c r="W76" s="135" t="s">
        <v>604</v>
      </c>
      <c r="AA76" t="str">
        <f>IFERROR(VLOOKUP(A76,'Capacity of production'!A:C,3,0),"")</f>
        <v/>
      </c>
    </row>
    <row r="77" spans="1:27" ht="15.75" thickBot="1">
      <c r="B77" s="41" t="s">
        <v>311</v>
      </c>
      <c r="C77" s="42" t="s">
        <v>313</v>
      </c>
      <c r="D77" s="284">
        <f>I65/AA65</f>
        <v>0.125</v>
      </c>
      <c r="E77" s="31">
        <f t="shared" si="9"/>
        <v>61.383280048907629</v>
      </c>
      <c r="F77" s="45" t="s">
        <v>782</v>
      </c>
      <c r="G77" s="32"/>
      <c r="H77" s="32" t="str">
        <f>VLOOKUP(B77,'Full Item list'!A:B,2,0)</f>
        <v>LAB/OH-Resin</v>
      </c>
      <c r="I77" s="32"/>
      <c r="J77" s="32" t="str">
        <f t="shared" si="10"/>
        <v>H</v>
      </c>
      <c r="K77" s="32" t="str">
        <f>VLOOKUP(H77,'Full Item list'!B:O,14,0)</f>
        <v>H</v>
      </c>
      <c r="L77" s="32"/>
      <c r="O77">
        <f>IFERROR(IF(J77="KG",VLOOKUP(H77,'Cost Price New'!D:E,2,0),VLOOKUP('BOMs setting'!H77,'Cost Price New'!D:I,6,0)),VLOOKUP(H77,A:R,18,0))</f>
        <v>491.06624039126103</v>
      </c>
      <c r="V77" t="s">
        <v>603</v>
      </c>
      <c r="W77" s="135" t="s">
        <v>604</v>
      </c>
      <c r="AA77" t="str">
        <f>IFERROR(VLOOKUP(A77,'Capacity of production'!A:C,3,0),"")</f>
        <v/>
      </c>
    </row>
    <row r="78" spans="1:27" ht="15">
      <c r="B78" s="54"/>
      <c r="C78" s="55"/>
      <c r="D78" s="56"/>
      <c r="E78" s="56" t="s">
        <v>466</v>
      </c>
      <c r="F78" s="56">
        <f>SUM(E67:E77)</f>
        <v>74.622932764847079</v>
      </c>
      <c r="G78" s="55"/>
      <c r="H78" s="55"/>
      <c r="I78" s="55"/>
      <c r="J78" s="55"/>
      <c r="K78" s="55"/>
      <c r="L78" s="55"/>
      <c r="V78" t="s">
        <v>603</v>
      </c>
      <c r="W78" s="135" t="s">
        <v>604</v>
      </c>
      <c r="AA78" t="str">
        <f>IFERROR(VLOOKUP(A78,'Capacity of production'!A:C,3,0),"")</f>
        <v/>
      </c>
    </row>
    <row r="79" spans="1:27" ht="15.75" thickBot="1">
      <c r="B79" s="54"/>
      <c r="C79" s="55"/>
      <c r="D79" s="56"/>
      <c r="E79" s="56"/>
      <c r="F79" s="55"/>
      <c r="G79" s="55"/>
      <c r="H79" s="55"/>
      <c r="I79" s="55"/>
      <c r="J79" s="55"/>
      <c r="K79" s="55"/>
      <c r="L79" s="55"/>
      <c r="V79" t="s">
        <v>603</v>
      </c>
      <c r="W79" s="135" t="s">
        <v>604</v>
      </c>
      <c r="AA79" t="str">
        <f>IFERROR(VLOOKUP(A79,'Capacity of production'!A:C,3,0),"")</f>
        <v/>
      </c>
    </row>
    <row r="80" spans="1:27" ht="16.5" thickBot="1">
      <c r="A80" s="102" t="s">
        <v>224</v>
      </c>
      <c r="B80" s="20" t="s">
        <v>224</v>
      </c>
      <c r="C80" s="288" t="str">
        <f>VLOOKUP(A80,'All products'!A:B,2,0)</f>
        <v>TECNOPOX-S (A+B 10KG)</v>
      </c>
      <c r="D80" s="288"/>
      <c r="E80" s="288"/>
      <c r="F80" s="289"/>
      <c r="G80" s="21">
        <v>1</v>
      </c>
      <c r="H80" s="21" t="str">
        <f>VLOOKUP(B80,'Full Item list'!A:B,2,0)</f>
        <v>RE306F</v>
      </c>
      <c r="I80" s="21">
        <f>VLOOKUP(H80,'Full Item list'!B:J,9,0)</f>
        <v>10</v>
      </c>
      <c r="J80" s="21"/>
      <c r="K80" s="21" t="str">
        <f>VLOOKUP(H80,'Full Item list'!B:O,14,0)</f>
        <v>PCS</v>
      </c>
      <c r="L80" s="21"/>
      <c r="M80">
        <f t="shared" si="11"/>
        <v>0</v>
      </c>
      <c r="N80" t="e">
        <f>VLOOKUP(B80,#REF!,9,0)</f>
        <v>#REF!</v>
      </c>
      <c r="P80">
        <v>10</v>
      </c>
      <c r="R80">
        <f ca="1">OFFSET(F80,MATCH("Total Cost:",E80:E130,0)-1,0,1,1)/G80</f>
        <v>77.185680048907628</v>
      </c>
      <c r="U80" t="str">
        <f>VLOOKUP(H80,'Full Item list'!B:D,3,0)</f>
        <v>Product</v>
      </c>
      <c r="V80" t="s">
        <v>603</v>
      </c>
      <c r="W80" s="135" t="s">
        <v>604</v>
      </c>
      <c r="X80" t="s">
        <v>606</v>
      </c>
      <c r="AA80">
        <f>IFERROR(VLOOKUP(A80,'Capacity of production'!A:C,3,0),"")</f>
        <v>80</v>
      </c>
    </row>
    <row r="81" spans="1:27" ht="15" thickBot="1">
      <c r="B81" s="23" t="s">
        <v>319</v>
      </c>
      <c r="C81" s="24" t="s">
        <v>320</v>
      </c>
      <c r="D81" s="25" t="s">
        <v>321</v>
      </c>
      <c r="E81" s="25" t="s">
        <v>322</v>
      </c>
      <c r="F81" s="53" t="s">
        <v>323</v>
      </c>
      <c r="G81" s="27"/>
      <c r="H81" s="27"/>
      <c r="I81" s="27"/>
      <c r="J81" s="27"/>
      <c r="K81" s="27"/>
      <c r="L81" s="27"/>
      <c r="V81" t="s">
        <v>603</v>
      </c>
      <c r="W81" s="135" t="s">
        <v>604</v>
      </c>
      <c r="AA81" t="str">
        <f>IFERROR(VLOOKUP(A81,'Capacity of production'!A:C,3,0),"")</f>
        <v/>
      </c>
    </row>
    <row r="82" spans="1:27" ht="15.75" thickBot="1">
      <c r="B82" s="28" t="s">
        <v>324</v>
      </c>
      <c r="C82" s="29" t="s">
        <v>221</v>
      </c>
      <c r="D82" s="29">
        <v>2.14</v>
      </c>
      <c r="E82" s="31">
        <f>O82*D82</f>
        <v>7.9608000000000008</v>
      </c>
      <c r="F82" s="301"/>
      <c r="G82" s="32"/>
      <c r="H82" s="32" t="str">
        <f>VLOOKUP(B82,'Full Item list'!A:B,2,0)</f>
        <v>RE-290</v>
      </c>
      <c r="I82" s="32"/>
      <c r="J82" s="32" t="str">
        <f t="shared" ref="J82:J86" si="12">K82</f>
        <v>KG</v>
      </c>
      <c r="K82" s="32" t="str">
        <f>VLOOKUP(H82,'Full Item list'!B:O,14,0)</f>
        <v>KG</v>
      </c>
      <c r="L82" s="32"/>
      <c r="M82">
        <f t="shared" si="11"/>
        <v>1.6909090909090908E-2</v>
      </c>
      <c r="N82" t="e">
        <f>VLOOKUP(B82,#REF!,9,0)</f>
        <v>#REF!</v>
      </c>
      <c r="O82">
        <f>IFERROR(IF(J82="KG",VLOOKUP(H82,'Cost Price New'!D:E,2,0),VLOOKUP('BOMs setting'!H82,'Cost Price New'!D:I,6,0)),VLOOKUP(H82,A:R,18,0))</f>
        <v>3.72</v>
      </c>
      <c r="P82">
        <v>220</v>
      </c>
      <c r="Q82">
        <v>1</v>
      </c>
      <c r="V82" t="s">
        <v>603</v>
      </c>
      <c r="W82" s="135" t="s">
        <v>604</v>
      </c>
      <c r="AA82" t="str">
        <f>IFERROR(VLOOKUP(A82,'Capacity of production'!A:C,3,0),"")</f>
        <v/>
      </c>
    </row>
    <row r="83" spans="1:27" ht="15.75" thickBot="1">
      <c r="B83" s="33" t="s">
        <v>325</v>
      </c>
      <c r="C83" s="34" t="s">
        <v>223</v>
      </c>
      <c r="D83" s="34">
        <v>0.42</v>
      </c>
      <c r="E83" s="31">
        <f>O83*D83</f>
        <v>1.113</v>
      </c>
      <c r="F83" s="291"/>
      <c r="G83" s="36"/>
      <c r="H83" s="36" t="str">
        <f>VLOOKUP(B83,'Full Item list'!A:B,2,0)</f>
        <v>RE-300</v>
      </c>
      <c r="I83" s="36"/>
      <c r="J83" s="32" t="str">
        <f t="shared" si="12"/>
        <v>KG</v>
      </c>
      <c r="K83" s="36" t="str">
        <f>VLOOKUP(H83,'Full Item list'!B:O,14,0)</f>
        <v>KG</v>
      </c>
      <c r="L83" s="36"/>
      <c r="M83">
        <f t="shared" si="11"/>
        <v>1.2045454545454545E-2</v>
      </c>
      <c r="N83" t="e">
        <f>VLOOKUP(B83,#REF!,9,0)</f>
        <v>#REF!</v>
      </c>
      <c r="O83">
        <f>IFERROR(IF(J83="KG",VLOOKUP(H83,'Cost Price New'!D:E,2,0),VLOOKUP('BOMs setting'!H83,'Cost Price New'!D:I,6,0)),VLOOKUP(H83,A:R,18,0))</f>
        <v>2.65</v>
      </c>
      <c r="P83">
        <v>220</v>
      </c>
      <c r="Q83">
        <v>1</v>
      </c>
      <c r="V83" t="s">
        <v>603</v>
      </c>
      <c r="W83" s="135" t="s">
        <v>604</v>
      </c>
      <c r="AA83" t="str">
        <f>IFERROR(VLOOKUP(A83,'Capacity of production'!A:C,3,0),"")</f>
        <v/>
      </c>
    </row>
    <row r="84" spans="1:27" ht="15.75" thickBot="1">
      <c r="B84" s="38" t="s">
        <v>336</v>
      </c>
      <c r="C84" s="39" t="s">
        <v>115</v>
      </c>
      <c r="D84" s="39">
        <v>6.16</v>
      </c>
      <c r="E84" s="31">
        <f>O84*D84</f>
        <v>0.35420000000000001</v>
      </c>
      <c r="F84" s="302"/>
      <c r="G84" s="37"/>
      <c r="H84" s="37" t="str">
        <f>VLOOKUP(B84,'Full Item list'!A:B,2,0)</f>
        <v>FS-540</v>
      </c>
      <c r="I84" s="37"/>
      <c r="J84" s="32" t="str">
        <f t="shared" si="12"/>
        <v>KG</v>
      </c>
      <c r="K84" s="37" t="str">
        <f>VLOOKUP(H84,'Full Item list'!B:O,14,0)</f>
        <v>KG</v>
      </c>
      <c r="L84" s="37"/>
      <c r="M84" s="123" t="e">
        <f t="shared" si="11"/>
        <v>#VALUE!</v>
      </c>
      <c r="N84" s="123" t="e">
        <f>VLOOKUP(B84,#REF!,9,0)</f>
        <v>#REF!</v>
      </c>
      <c r="O84">
        <f>IFERROR(IF(J84="KG",VLOOKUP(H84,'Cost Price New'!D:E,2,0),VLOOKUP('BOMs setting'!H84,'Cost Price New'!D:I,6,0)),VLOOKUP(H84,A:R,18,0))</f>
        <v>5.7500000000000002E-2</v>
      </c>
      <c r="P84" s="123" t="s">
        <v>467</v>
      </c>
      <c r="Q84">
        <v>1</v>
      </c>
      <c r="V84" t="s">
        <v>603</v>
      </c>
      <c r="W84" s="135" t="s">
        <v>604</v>
      </c>
      <c r="AA84" t="str">
        <f>IFERROR(VLOOKUP(A84,'Capacity of production'!A:C,3,0),"")</f>
        <v/>
      </c>
    </row>
    <row r="85" spans="1:27" ht="15.75" thickBot="1">
      <c r="B85" s="41" t="s">
        <v>335</v>
      </c>
      <c r="C85" s="42" t="s">
        <v>103</v>
      </c>
      <c r="D85" s="43">
        <v>1.28</v>
      </c>
      <c r="E85" s="31">
        <f>O85*D85</f>
        <v>6.3744000000000005</v>
      </c>
      <c r="F85" s="45"/>
      <c r="G85" s="32"/>
      <c r="H85" s="32" t="str">
        <f>VLOOKUP(B85,'Full Item list'!A:B,2,0)</f>
        <v>CT-670</v>
      </c>
      <c r="I85" s="32"/>
      <c r="J85" s="32" t="str">
        <f t="shared" si="12"/>
        <v>KG</v>
      </c>
      <c r="K85" s="32" t="str">
        <f>VLOOKUP(H85,'Full Item list'!B:O,14,0)</f>
        <v>KG</v>
      </c>
      <c r="L85" s="32"/>
      <c r="M85">
        <f t="shared" si="11"/>
        <v>2.3714285714285716E-2</v>
      </c>
      <c r="N85" t="e">
        <f>VLOOKUP(B85,#REF!,9,0)</f>
        <v>#REF!</v>
      </c>
      <c r="O85">
        <f>IFERROR(IF(J85="KG",VLOOKUP(H85,'Cost Price New'!D:E,2,0),VLOOKUP('BOMs setting'!H85,'Cost Price New'!D:I,6,0)),VLOOKUP(H85,A:R,18,0))</f>
        <v>4.9800000000000004</v>
      </c>
      <c r="P85">
        <v>210</v>
      </c>
      <c r="Q85">
        <v>1</v>
      </c>
      <c r="V85" t="s">
        <v>603</v>
      </c>
      <c r="W85" s="135" t="s">
        <v>604</v>
      </c>
      <c r="AA85" t="str">
        <f>IFERROR(VLOOKUP(A85,'Capacity of production'!A:C,3,0),"")</f>
        <v/>
      </c>
    </row>
    <row r="86" spans="1:27" ht="15.75" thickBot="1">
      <c r="B86" s="41" t="s">
        <v>311</v>
      </c>
      <c r="C86" s="42" t="s">
        <v>313</v>
      </c>
      <c r="D86" s="284">
        <f>I80/AA80</f>
        <v>0.125</v>
      </c>
      <c r="E86" s="31">
        <f>O86*D86</f>
        <v>61.383280048907629</v>
      </c>
      <c r="F86" s="45" t="s">
        <v>782</v>
      </c>
      <c r="G86" s="32"/>
      <c r="H86" s="32" t="str">
        <f>VLOOKUP(B86,'Full Item list'!A:B,2,0)</f>
        <v>LAB/OH-Resin</v>
      </c>
      <c r="I86" s="32"/>
      <c r="J86" s="32" t="str">
        <f t="shared" si="12"/>
        <v>H</v>
      </c>
      <c r="K86" s="32" t="str">
        <f>VLOOKUP(H86,'Full Item list'!B:O,14,0)</f>
        <v>H</v>
      </c>
      <c r="L86" s="32"/>
      <c r="O86">
        <f>IFERROR(IF(J86="KG",VLOOKUP(H86,'Cost Price New'!D:E,2,0),VLOOKUP('BOMs setting'!H86,'Cost Price New'!D:I,6,0)),VLOOKUP(H86,A:R,18,0))</f>
        <v>491.06624039126103</v>
      </c>
      <c r="V86" t="s">
        <v>603</v>
      </c>
      <c r="W86" s="135" t="s">
        <v>604</v>
      </c>
      <c r="AA86" t="str">
        <f>IFERROR(VLOOKUP(A86,'Capacity of production'!A:C,3,0),"")</f>
        <v/>
      </c>
    </row>
    <row r="87" spans="1:27" ht="15">
      <c r="B87" s="2"/>
      <c r="C87" s="2"/>
      <c r="D87" s="2"/>
      <c r="E87" s="56" t="s">
        <v>466</v>
      </c>
      <c r="F87" s="56">
        <f>SUM(E82:E86)</f>
        <v>77.185680048907628</v>
      </c>
      <c r="G87" s="2"/>
      <c r="H87" s="2"/>
      <c r="I87" s="2"/>
      <c r="J87" s="2"/>
      <c r="K87" s="2"/>
      <c r="L87" s="2"/>
      <c r="V87" t="s">
        <v>603</v>
      </c>
      <c r="W87" s="135" t="s">
        <v>604</v>
      </c>
      <c r="AA87" t="str">
        <f>IFERROR(VLOOKUP(A87,'Capacity of production'!A:C,3,0),"")</f>
        <v/>
      </c>
    </row>
    <row r="88" spans="1:27" ht="15" thickBo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V88" t="s">
        <v>603</v>
      </c>
      <c r="W88" s="135" t="s">
        <v>604</v>
      </c>
      <c r="AA88" t="str">
        <f>IFERROR(VLOOKUP(A88,'Capacity of production'!A:C,3,0),"")</f>
        <v/>
      </c>
    </row>
    <row r="89" spans="1:27" ht="16.5" thickBot="1">
      <c r="A89" t="str">
        <f>B89</f>
        <v>RE350F</v>
      </c>
      <c r="B89" s="20" t="s">
        <v>227</v>
      </c>
      <c r="C89" s="288" t="str">
        <f>VLOOKUP(A89,'All products'!A:B,2,0)</f>
        <v>TECNOPOX-S (A+B 5KG)</v>
      </c>
      <c r="D89" s="288"/>
      <c r="E89" s="288"/>
      <c r="F89" s="289"/>
      <c r="G89" s="21">
        <v>1</v>
      </c>
      <c r="H89" s="21" t="str">
        <f>VLOOKUP(B89,'Full Item list'!A:B,2,0)</f>
        <v>RE350F</v>
      </c>
      <c r="I89" s="21">
        <f>VLOOKUP(H89,'Full Item list'!B:J,9,0)</f>
        <v>5</v>
      </c>
      <c r="J89" s="21"/>
      <c r="K89" s="21" t="str">
        <f>VLOOKUP(H89,'Full Item list'!B:O,14,0)</f>
        <v>PCS</v>
      </c>
      <c r="L89" s="21"/>
      <c r="M89">
        <f t="shared" si="11"/>
        <v>0</v>
      </c>
      <c r="N89" t="e">
        <f>VLOOKUP(B89,#REF!,9,0)</f>
        <v>#REF!</v>
      </c>
      <c r="P89">
        <v>5</v>
      </c>
      <c r="R89">
        <f ca="1">OFFSET(F89,MATCH("Total Cost:",E89:E139,0)-1,0,1,1)/G89</f>
        <v>57.007824039126106</v>
      </c>
      <c r="U89" t="str">
        <f>VLOOKUP(H89,'Full Item list'!B:D,3,0)</f>
        <v>Product</v>
      </c>
      <c r="V89" t="s">
        <v>603</v>
      </c>
      <c r="W89" s="135" t="s">
        <v>604</v>
      </c>
      <c r="X89" t="s">
        <v>606</v>
      </c>
      <c r="AA89">
        <f>IFERROR(VLOOKUP(A89,'Capacity of production'!A:C,3,0),"")</f>
        <v>50</v>
      </c>
    </row>
    <row r="90" spans="1:27" ht="15" thickBot="1">
      <c r="B90" s="23" t="s">
        <v>319</v>
      </c>
      <c r="C90" s="24" t="s">
        <v>320</v>
      </c>
      <c r="D90" s="25" t="s">
        <v>321</v>
      </c>
      <c r="E90" s="25" t="s">
        <v>322</v>
      </c>
      <c r="F90" s="53" t="s">
        <v>323</v>
      </c>
      <c r="G90" s="27"/>
      <c r="H90" s="27"/>
      <c r="I90" s="27"/>
      <c r="J90" s="27"/>
      <c r="K90" s="27"/>
      <c r="L90" s="27"/>
      <c r="V90" t="s">
        <v>603</v>
      </c>
      <c r="W90" s="135" t="s">
        <v>604</v>
      </c>
      <c r="AA90" t="str">
        <f>IFERROR(VLOOKUP(A90,'Capacity of production'!A:C,3,0),"")</f>
        <v/>
      </c>
    </row>
    <row r="91" spans="1:27" ht="15.75" thickBot="1">
      <c r="B91" s="28" t="s">
        <v>324</v>
      </c>
      <c r="C91" s="29" t="s">
        <v>221</v>
      </c>
      <c r="D91" s="29">
        <v>1.07</v>
      </c>
      <c r="E91" s="31">
        <f>O91*D91</f>
        <v>3.9804000000000004</v>
      </c>
      <c r="F91" s="301"/>
      <c r="G91" s="32"/>
      <c r="H91" s="32" t="str">
        <f>VLOOKUP(B91,'Full Item list'!A:B,2,0)</f>
        <v>RE-290</v>
      </c>
      <c r="I91" s="32"/>
      <c r="J91" s="32" t="str">
        <f t="shared" ref="J91:J95" si="13">K91</f>
        <v>KG</v>
      </c>
      <c r="K91" s="32" t="str">
        <f>VLOOKUP(H91,'Full Item list'!B:O,14,0)</f>
        <v>KG</v>
      </c>
      <c r="L91" s="32"/>
      <c r="M91">
        <f t="shared" si="11"/>
        <v>1.6909090909090908E-2</v>
      </c>
      <c r="N91" t="e">
        <f>VLOOKUP(B91,#REF!,9,0)</f>
        <v>#REF!</v>
      </c>
      <c r="O91">
        <f>IFERROR(IF(J91="KG",VLOOKUP(H91,'Cost Price New'!D:E,2,0),VLOOKUP('BOMs setting'!H91,'Cost Price New'!D:I,6,0)),VLOOKUP(H91,A:R,18,0))</f>
        <v>3.72</v>
      </c>
      <c r="P91">
        <v>220</v>
      </c>
      <c r="Q91">
        <v>1</v>
      </c>
      <c r="V91" t="s">
        <v>603</v>
      </c>
      <c r="W91" s="135" t="s">
        <v>604</v>
      </c>
      <c r="AA91" t="str">
        <f>IFERROR(VLOOKUP(A91,'Capacity of production'!A:C,3,0),"")</f>
        <v/>
      </c>
    </row>
    <row r="92" spans="1:27" ht="15.75" thickBot="1">
      <c r="B92" s="33" t="s">
        <v>325</v>
      </c>
      <c r="C92" s="34" t="s">
        <v>223</v>
      </c>
      <c r="D92" s="34">
        <v>0.21</v>
      </c>
      <c r="E92" s="31">
        <f>O92*D92</f>
        <v>0.55649999999999999</v>
      </c>
      <c r="F92" s="291"/>
      <c r="G92" s="36"/>
      <c r="H92" s="36" t="str">
        <f>VLOOKUP(B92,'Full Item list'!A:B,2,0)</f>
        <v>RE-300</v>
      </c>
      <c r="I92" s="36"/>
      <c r="J92" s="32" t="str">
        <f t="shared" si="13"/>
        <v>KG</v>
      </c>
      <c r="K92" s="36" t="str">
        <f>VLOOKUP(H92,'Full Item list'!B:O,14,0)</f>
        <v>KG</v>
      </c>
      <c r="L92" s="36"/>
      <c r="M92">
        <f t="shared" si="11"/>
        <v>1.2045454545454545E-2</v>
      </c>
      <c r="N92" t="e">
        <f>VLOOKUP(B92,#REF!,9,0)</f>
        <v>#REF!</v>
      </c>
      <c r="O92">
        <f>IFERROR(IF(J92="KG",VLOOKUP(H92,'Cost Price New'!D:E,2,0),VLOOKUP('BOMs setting'!H92,'Cost Price New'!D:I,6,0)),VLOOKUP(H92,A:R,18,0))</f>
        <v>2.65</v>
      </c>
      <c r="P92">
        <v>220</v>
      </c>
      <c r="Q92">
        <v>1</v>
      </c>
      <c r="V92" t="s">
        <v>603</v>
      </c>
      <c r="W92" s="135" t="s">
        <v>604</v>
      </c>
      <c r="AA92" t="str">
        <f>IFERROR(VLOOKUP(A92,'Capacity of production'!A:C,3,0),"")</f>
        <v/>
      </c>
    </row>
    <row r="93" spans="1:27" ht="15.75" thickBot="1">
      <c r="B93" s="38" t="s">
        <v>336</v>
      </c>
      <c r="C93" s="39" t="s">
        <v>115</v>
      </c>
      <c r="D93" s="39">
        <v>3.08</v>
      </c>
      <c r="E93" s="31">
        <f>O93*D93</f>
        <v>0.17710000000000001</v>
      </c>
      <c r="F93" s="302"/>
      <c r="G93" s="37"/>
      <c r="H93" s="37" t="str">
        <f>VLOOKUP(B93,'Full Item list'!A:B,2,0)</f>
        <v>FS-540</v>
      </c>
      <c r="I93" s="37"/>
      <c r="J93" s="32" t="str">
        <f t="shared" si="13"/>
        <v>KG</v>
      </c>
      <c r="K93" s="37" t="str">
        <f>VLOOKUP(H93,'Full Item list'!B:O,14,0)</f>
        <v>KG</v>
      </c>
      <c r="L93" s="37"/>
      <c r="M93" s="22" t="e">
        <f t="shared" si="11"/>
        <v>#DIV/0!</v>
      </c>
      <c r="N93" s="22" t="e">
        <f>VLOOKUP(B93,#REF!,9,0)</f>
        <v>#REF!</v>
      </c>
      <c r="O93">
        <f>IFERROR(IF(J93="KG",VLOOKUP(H93,'Cost Price New'!D:E,2,0),VLOOKUP('BOMs setting'!H93,'Cost Price New'!D:I,6,0)),VLOOKUP(H93,A:R,18,0))</f>
        <v>5.7500000000000002E-2</v>
      </c>
      <c r="P93" s="22"/>
      <c r="Q93">
        <v>1</v>
      </c>
      <c r="V93" t="s">
        <v>603</v>
      </c>
      <c r="W93" s="135" t="s">
        <v>604</v>
      </c>
      <c r="AA93" t="str">
        <f>IFERROR(VLOOKUP(A93,'Capacity of production'!A:C,3,0),"")</f>
        <v/>
      </c>
    </row>
    <row r="94" spans="1:27" ht="15.75" thickBot="1">
      <c r="B94" s="41" t="s">
        <v>335</v>
      </c>
      <c r="C94" s="42" t="s">
        <v>103</v>
      </c>
      <c r="D94" s="43">
        <v>0.64</v>
      </c>
      <c r="E94" s="31">
        <f>O94*D94</f>
        <v>3.1872000000000003</v>
      </c>
      <c r="F94" s="45"/>
      <c r="G94" s="32"/>
      <c r="H94" s="32" t="str">
        <f>VLOOKUP(B94,'Full Item list'!A:B,2,0)</f>
        <v>CT-670</v>
      </c>
      <c r="I94" s="32"/>
      <c r="J94" s="32" t="str">
        <f t="shared" si="13"/>
        <v>KG</v>
      </c>
      <c r="K94" s="32" t="str">
        <f>VLOOKUP(H94,'Full Item list'!B:O,14,0)</f>
        <v>KG</v>
      </c>
      <c r="L94" s="32"/>
      <c r="M94">
        <f t="shared" si="11"/>
        <v>2.3714285714285716E-2</v>
      </c>
      <c r="N94" t="e">
        <f>VLOOKUP(B94,#REF!,9,0)</f>
        <v>#REF!</v>
      </c>
      <c r="O94">
        <f>IFERROR(IF(J94="KG",VLOOKUP(H94,'Cost Price New'!D:E,2,0),VLOOKUP('BOMs setting'!H94,'Cost Price New'!D:I,6,0)),VLOOKUP(H94,A:R,18,0))</f>
        <v>4.9800000000000004</v>
      </c>
      <c r="P94">
        <v>210</v>
      </c>
      <c r="Q94">
        <v>1</v>
      </c>
      <c r="V94" t="s">
        <v>603</v>
      </c>
      <c r="W94" s="135" t="s">
        <v>604</v>
      </c>
      <c r="AA94" t="str">
        <f>IFERROR(VLOOKUP(A94,'Capacity of production'!A:C,3,0),"")</f>
        <v/>
      </c>
    </row>
    <row r="95" spans="1:27" ht="15.75" thickBot="1">
      <c r="B95" s="41" t="s">
        <v>311</v>
      </c>
      <c r="C95" s="42" t="s">
        <v>313</v>
      </c>
      <c r="D95" s="284">
        <f>I89/AA89</f>
        <v>0.1</v>
      </c>
      <c r="E95" s="31">
        <f>O95*D95</f>
        <v>49.106624039126103</v>
      </c>
      <c r="F95" s="45" t="s">
        <v>782</v>
      </c>
      <c r="G95" s="32"/>
      <c r="H95" s="32" t="str">
        <f>VLOOKUP(B95,'Full Item list'!A:B,2,0)</f>
        <v>LAB/OH-Resin</v>
      </c>
      <c r="I95" s="32"/>
      <c r="J95" s="32" t="str">
        <f t="shared" si="13"/>
        <v>H</v>
      </c>
      <c r="K95" s="32" t="str">
        <f>VLOOKUP(H95,'Full Item list'!B:O,14,0)</f>
        <v>H</v>
      </c>
      <c r="L95" s="32"/>
      <c r="O95">
        <f>IFERROR(IF(J95="KG",VLOOKUP(H95,'Cost Price New'!D:E,2,0),VLOOKUP('BOMs setting'!H95,'Cost Price New'!D:I,6,0)),VLOOKUP(H95,A:R,18,0))</f>
        <v>491.06624039126103</v>
      </c>
      <c r="V95" t="s">
        <v>603</v>
      </c>
      <c r="W95" s="135" t="s">
        <v>604</v>
      </c>
      <c r="AA95" t="str">
        <f>IFERROR(VLOOKUP(A95,'Capacity of production'!A:C,3,0),"")</f>
        <v/>
      </c>
    </row>
    <row r="96" spans="1:27" ht="15">
      <c r="B96" s="54"/>
      <c r="C96" s="55"/>
      <c r="D96" s="56"/>
      <c r="E96" s="56" t="s">
        <v>466</v>
      </c>
      <c r="F96" s="56">
        <f>SUM(E91:E95)</f>
        <v>57.007824039126106</v>
      </c>
      <c r="G96" s="55"/>
      <c r="H96" s="55"/>
      <c r="I96" s="55"/>
      <c r="J96" s="55"/>
      <c r="K96" s="55"/>
      <c r="L96" s="55"/>
      <c r="V96" t="s">
        <v>603</v>
      </c>
      <c r="W96" s="135" t="s">
        <v>604</v>
      </c>
      <c r="AA96" t="str">
        <f>IFERROR(VLOOKUP(A96,'Capacity of production'!A:C,3,0),"")</f>
        <v/>
      </c>
    </row>
    <row r="97" spans="1:27" ht="15.75" thickBot="1">
      <c r="B97" s="54"/>
      <c r="C97" s="55"/>
      <c r="D97" s="56"/>
      <c r="E97" s="56"/>
      <c r="F97" s="55"/>
      <c r="G97" s="55"/>
      <c r="H97" s="55"/>
      <c r="I97" s="55"/>
      <c r="J97" s="55"/>
      <c r="K97" s="55"/>
      <c r="L97" s="55"/>
      <c r="V97" t="s">
        <v>603</v>
      </c>
      <c r="W97" s="135" t="s">
        <v>604</v>
      </c>
      <c r="AA97" t="str">
        <f>IFERROR(VLOOKUP(A97,'Capacity of production'!A:C,3,0),"")</f>
        <v/>
      </c>
    </row>
    <row r="98" spans="1:27" ht="16.5" customHeight="1" thickBot="1">
      <c r="A98" t="str">
        <f>B98</f>
        <v>RE010F</v>
      </c>
      <c r="B98" s="20" t="s">
        <v>205</v>
      </c>
      <c r="C98" s="288" t="str">
        <f>VLOOKUP(A98,'All products'!A:B,2,0)</f>
        <v>TECNOPOX-ANCLAJES (A+B 2KG)</v>
      </c>
      <c r="D98" s="288"/>
      <c r="E98" s="288"/>
      <c r="F98" s="289"/>
      <c r="G98" s="21">
        <v>1</v>
      </c>
      <c r="H98" s="21" t="str">
        <f>VLOOKUP(B98,'Full Item list'!A:B,2,0)</f>
        <v>RE010F</v>
      </c>
      <c r="I98" s="21">
        <f>VLOOKUP(H98,'Full Item list'!B:J,9,0)</f>
        <v>2</v>
      </c>
      <c r="J98" s="21"/>
      <c r="K98" s="21" t="str">
        <f>VLOOKUP(H98,'Full Item list'!B:O,14,0)</f>
        <v>PCS</v>
      </c>
      <c r="L98" s="21"/>
      <c r="M98">
        <f t="shared" si="11"/>
        <v>0</v>
      </c>
      <c r="N98" t="e">
        <f>VLOOKUP(B98,#REF!,9,0)</f>
        <v>#REF!</v>
      </c>
      <c r="P98">
        <v>2</v>
      </c>
      <c r="R98">
        <f ca="1">OFFSET(F98,MATCH("Total Cost:",E98:E148,0)-1,0,1,1)/G98</f>
        <v>100.4782280782522</v>
      </c>
      <c r="U98" t="str">
        <f>VLOOKUP(H98,'Full Item list'!B:D,3,0)</f>
        <v>Product</v>
      </c>
      <c r="V98" t="s">
        <v>603</v>
      </c>
      <c r="W98" s="135" t="s">
        <v>604</v>
      </c>
      <c r="X98" t="s">
        <v>606</v>
      </c>
      <c r="AA98">
        <f>IFERROR(VLOOKUP(A98,'Capacity of production'!A:C,3,0),"")</f>
        <v>10</v>
      </c>
    </row>
    <row r="99" spans="1:27" ht="15" thickBot="1">
      <c r="B99" s="23" t="s">
        <v>319</v>
      </c>
      <c r="C99" s="24" t="s">
        <v>320</v>
      </c>
      <c r="D99" s="25" t="s">
        <v>321</v>
      </c>
      <c r="E99" s="25" t="s">
        <v>322</v>
      </c>
      <c r="F99" s="53" t="s">
        <v>323</v>
      </c>
      <c r="G99" s="27"/>
      <c r="H99" s="27"/>
      <c r="I99" s="27"/>
      <c r="J99" s="27"/>
      <c r="K99" s="27"/>
      <c r="L99" s="27"/>
      <c r="V99" t="s">
        <v>603</v>
      </c>
      <c r="W99" s="135" t="s">
        <v>604</v>
      </c>
      <c r="AA99" t="str">
        <f>IFERROR(VLOOKUP(A99,'Capacity of production'!A:C,3,0),"")</f>
        <v/>
      </c>
    </row>
    <row r="100" spans="1:27" ht="15.75" thickBot="1">
      <c r="B100" s="28" t="s">
        <v>324</v>
      </c>
      <c r="C100" s="29" t="s">
        <v>221</v>
      </c>
      <c r="D100" s="29">
        <v>0.32200000000000001</v>
      </c>
      <c r="E100" s="31">
        <f t="shared" ref="E100:E107" si="14">O100*D100</f>
        <v>1.19784</v>
      </c>
      <c r="F100" s="301"/>
      <c r="G100" s="32"/>
      <c r="H100" s="32" t="str">
        <f>VLOOKUP(B100,'Full Item list'!A:B,2,0)</f>
        <v>RE-290</v>
      </c>
      <c r="I100" s="32"/>
      <c r="J100" s="32" t="str">
        <f t="shared" ref="J100:J107" si="15">K100</f>
        <v>KG</v>
      </c>
      <c r="K100" s="32" t="str">
        <f>VLOOKUP(H100,'Full Item list'!B:O,14,0)</f>
        <v>KG</v>
      </c>
      <c r="L100" s="32"/>
      <c r="M100">
        <f t="shared" si="11"/>
        <v>1.6909090909090908E-2</v>
      </c>
      <c r="N100" t="e">
        <f>VLOOKUP(B100,#REF!,9,0)</f>
        <v>#REF!</v>
      </c>
      <c r="O100">
        <f>IFERROR(IF(J100="KG",VLOOKUP(H100,'Cost Price New'!D:E,2,0),VLOOKUP('BOMs setting'!H100,'Cost Price New'!D:I,6,0)),VLOOKUP(H100,A:R,18,0))</f>
        <v>3.72</v>
      </c>
      <c r="P100">
        <v>220</v>
      </c>
      <c r="Q100">
        <v>1</v>
      </c>
      <c r="V100" t="s">
        <v>603</v>
      </c>
      <c r="W100" s="135" t="s">
        <v>604</v>
      </c>
      <c r="AA100" t="str">
        <f>IFERROR(VLOOKUP(A100,'Capacity of production'!A:C,3,0),"")</f>
        <v/>
      </c>
    </row>
    <row r="101" spans="1:27" ht="15.75" thickBot="1">
      <c r="B101" s="33" t="s">
        <v>325</v>
      </c>
      <c r="C101" s="34" t="s">
        <v>223</v>
      </c>
      <c r="D101" s="34">
        <v>6.9000000000000006E-2</v>
      </c>
      <c r="E101" s="31">
        <f t="shared" si="14"/>
        <v>0.18285000000000001</v>
      </c>
      <c r="F101" s="291"/>
      <c r="G101" s="36"/>
      <c r="H101" s="36" t="str">
        <f>VLOOKUP(B101,'Full Item list'!A:B,2,0)</f>
        <v>RE-300</v>
      </c>
      <c r="I101" s="36"/>
      <c r="J101" s="32" t="str">
        <f t="shared" si="15"/>
        <v>KG</v>
      </c>
      <c r="K101" s="36" t="str">
        <f>VLOOKUP(H101,'Full Item list'!B:O,14,0)</f>
        <v>KG</v>
      </c>
      <c r="L101" s="36"/>
      <c r="M101">
        <f t="shared" si="11"/>
        <v>1.2045454545454545E-2</v>
      </c>
      <c r="N101" t="e">
        <f>VLOOKUP(B101,#REF!,9,0)</f>
        <v>#REF!</v>
      </c>
      <c r="O101">
        <f>IFERROR(IF(J101="KG",VLOOKUP(H101,'Cost Price New'!D:E,2,0),VLOOKUP('BOMs setting'!H101,'Cost Price New'!D:I,6,0)),VLOOKUP(H101,A:R,18,0))</f>
        <v>2.65</v>
      </c>
      <c r="P101">
        <v>220</v>
      </c>
      <c r="Q101">
        <v>1</v>
      </c>
      <c r="V101" t="s">
        <v>603</v>
      </c>
      <c r="W101" s="135" t="s">
        <v>604</v>
      </c>
      <c r="AA101" t="str">
        <f>IFERROR(VLOOKUP(A101,'Capacity of production'!A:C,3,0),"")</f>
        <v/>
      </c>
    </row>
    <row r="102" spans="1:27" ht="15.75" thickBot="1">
      <c r="B102" s="57" t="s">
        <v>337</v>
      </c>
      <c r="C102" s="58" t="s">
        <v>256</v>
      </c>
      <c r="D102" s="58">
        <v>2.9000000000000001E-2</v>
      </c>
      <c r="E102" s="31">
        <f t="shared" si="14"/>
        <v>8.4100000000000008E-2</v>
      </c>
      <c r="F102" s="293"/>
      <c r="G102" s="36"/>
      <c r="H102" s="36" t="str">
        <f>VLOOKUP(B102,'Full Item list'!A:B,2,0)</f>
        <v>SV-300</v>
      </c>
      <c r="I102" s="36"/>
      <c r="J102" s="32" t="str">
        <f t="shared" si="15"/>
        <v>KG</v>
      </c>
      <c r="K102" s="36" t="str">
        <f>VLOOKUP(H102,'Full Item list'!B:O,14,0)</f>
        <v>KG</v>
      </c>
      <c r="L102" s="36"/>
      <c r="M102">
        <f t="shared" si="11"/>
        <v>1.4499999999999999E-2</v>
      </c>
      <c r="N102" t="e">
        <f>VLOOKUP(B102,#REF!,9,0)</f>
        <v>#REF!</v>
      </c>
      <c r="O102">
        <f>IFERROR(IF(J102="KG",VLOOKUP(H102,'Cost Price New'!D:E,2,0),VLOOKUP('BOMs setting'!H102,'Cost Price New'!D:I,6,0)),VLOOKUP(H102,A:R,18,0))</f>
        <v>2.9</v>
      </c>
      <c r="P102">
        <v>200</v>
      </c>
      <c r="Q102">
        <v>1</v>
      </c>
      <c r="V102" t="s">
        <v>603</v>
      </c>
      <c r="W102" s="135" t="s">
        <v>604</v>
      </c>
      <c r="AA102" t="str">
        <f>IFERROR(VLOOKUP(A102,'Capacity of production'!A:C,3,0),"")</f>
        <v/>
      </c>
    </row>
    <row r="103" spans="1:27" ht="15.75" thickBot="1">
      <c r="B103" s="57" t="s">
        <v>336</v>
      </c>
      <c r="C103" s="58" t="s">
        <v>115</v>
      </c>
      <c r="D103" s="58">
        <v>0.13800000000000001</v>
      </c>
      <c r="E103" s="31">
        <f t="shared" si="14"/>
        <v>7.9350000000000011E-3</v>
      </c>
      <c r="F103" s="293"/>
      <c r="G103" s="36"/>
      <c r="H103" s="36" t="str">
        <f>VLOOKUP(B103,'Full Item list'!A:B,2,0)</f>
        <v>FS-540</v>
      </c>
      <c r="I103" s="36"/>
      <c r="J103" s="32" t="str">
        <f t="shared" si="15"/>
        <v>KG</v>
      </c>
      <c r="K103" s="36" t="str">
        <f>VLOOKUP(H103,'Full Item list'!B:O,14,0)</f>
        <v>KG</v>
      </c>
      <c r="L103" s="36"/>
      <c r="M103" s="22" t="e">
        <f t="shared" si="11"/>
        <v>#DIV/0!</v>
      </c>
      <c r="N103" s="22" t="e">
        <f>VLOOKUP(B103,#REF!,9,0)</f>
        <v>#REF!</v>
      </c>
      <c r="O103">
        <f>IFERROR(IF(J103="KG",VLOOKUP(H103,'Cost Price New'!D:E,2,0),VLOOKUP('BOMs setting'!H103,'Cost Price New'!D:I,6,0)),VLOOKUP(H103,A:R,18,0))</f>
        <v>5.7500000000000002E-2</v>
      </c>
      <c r="P103" s="22"/>
      <c r="Q103">
        <v>1</v>
      </c>
      <c r="V103" t="s">
        <v>603</v>
      </c>
      <c r="W103" s="135" t="s">
        <v>604</v>
      </c>
      <c r="AA103" t="str">
        <f>IFERROR(VLOOKUP(A103,'Capacity of production'!A:C,3,0),"")</f>
        <v/>
      </c>
    </row>
    <row r="104" spans="1:27" ht="15.75" thickBot="1">
      <c r="B104" s="57" t="s">
        <v>338</v>
      </c>
      <c r="C104" s="58" t="s">
        <v>117</v>
      </c>
      <c r="D104" s="58">
        <v>0.495</v>
      </c>
      <c r="E104" s="31">
        <f t="shared" si="14"/>
        <v>1.7325E-2</v>
      </c>
      <c r="F104" s="293"/>
      <c r="G104" s="36"/>
      <c r="H104" s="36" t="str">
        <f>VLOOKUP(B104,'Full Item list'!A:B,2,0)</f>
        <v>FS-550</v>
      </c>
      <c r="I104" s="36"/>
      <c r="J104" s="32" t="str">
        <f t="shared" si="15"/>
        <v>KG</v>
      </c>
      <c r="K104" s="36" t="str">
        <f>VLOOKUP(H104,'Full Item list'!B:O,14,0)</f>
        <v>KG</v>
      </c>
      <c r="L104" s="36"/>
      <c r="M104" s="22" t="e">
        <f t="shared" si="11"/>
        <v>#DIV/0!</v>
      </c>
      <c r="N104" s="22" t="e">
        <f>VLOOKUP(B104,#REF!,9,0)</f>
        <v>#REF!</v>
      </c>
      <c r="O104">
        <f>IFERROR(IF(J104="KG",VLOOKUP(H104,'Cost Price New'!D:E,2,0),VLOOKUP('BOMs setting'!H104,'Cost Price New'!D:I,6,0)),VLOOKUP(H104,A:R,18,0))</f>
        <v>3.5000000000000003E-2</v>
      </c>
      <c r="P104" s="22"/>
      <c r="Q104">
        <v>1</v>
      </c>
      <c r="V104" t="s">
        <v>602</v>
      </c>
      <c r="W104" s="135" t="s">
        <v>605</v>
      </c>
      <c r="AA104" t="str">
        <f>IFERROR(VLOOKUP(A104,'Capacity of production'!A:C,3,0),"")</f>
        <v/>
      </c>
    </row>
    <row r="105" spans="1:27" ht="15.75" thickBot="1">
      <c r="B105" s="38" t="s">
        <v>339</v>
      </c>
      <c r="C105" s="39" t="s">
        <v>340</v>
      </c>
      <c r="D105" s="39">
        <v>0.79800000000000004</v>
      </c>
      <c r="E105" s="31">
        <f t="shared" si="14"/>
        <v>2.7930000000000003E-2</v>
      </c>
      <c r="F105" s="302"/>
      <c r="G105" s="37"/>
      <c r="H105" s="37" t="str">
        <f>VLOOKUP(B105,'Full Item list'!A:B,2,0)</f>
        <v>FS-560</v>
      </c>
      <c r="I105" s="37"/>
      <c r="J105" s="32" t="str">
        <f t="shared" si="15"/>
        <v>KG</v>
      </c>
      <c r="K105" s="37" t="str">
        <f>VLOOKUP(H105,'Full Item list'!B:O,14,0)</f>
        <v>KG</v>
      </c>
      <c r="L105" s="37"/>
      <c r="M105" s="22" t="e">
        <f t="shared" si="11"/>
        <v>#DIV/0!</v>
      </c>
      <c r="N105" s="22" t="e">
        <f>VLOOKUP(B105,#REF!,9,0)</f>
        <v>#REF!</v>
      </c>
      <c r="O105">
        <f>IFERROR(IF(J105="KG",VLOOKUP(H105,'Cost Price New'!D:E,2,0),VLOOKUP('BOMs setting'!H105,'Cost Price New'!D:I,6,0)),VLOOKUP(H105,A:R,18,0))</f>
        <v>3.5000000000000003E-2</v>
      </c>
      <c r="P105" s="22"/>
      <c r="Q105">
        <v>1</v>
      </c>
      <c r="V105" t="s">
        <v>602</v>
      </c>
      <c r="W105" s="135" t="s">
        <v>605</v>
      </c>
      <c r="AA105" t="str">
        <f>IFERROR(VLOOKUP(A105,'Capacity of production'!A:C,3,0),"")</f>
        <v/>
      </c>
    </row>
    <row r="106" spans="1:27" ht="15.75" thickBot="1">
      <c r="B106" s="41" t="s">
        <v>335</v>
      </c>
      <c r="C106" s="42" t="s">
        <v>103</v>
      </c>
      <c r="D106" s="43">
        <v>0.15</v>
      </c>
      <c r="E106" s="31">
        <f t="shared" si="14"/>
        <v>0.747</v>
      </c>
      <c r="F106" s="45"/>
      <c r="G106" s="32"/>
      <c r="H106" s="32" t="str">
        <f>VLOOKUP(B106,'Full Item list'!A:B,2,0)</f>
        <v>CT-670</v>
      </c>
      <c r="I106" s="32"/>
      <c r="J106" s="32" t="str">
        <f t="shared" si="15"/>
        <v>KG</v>
      </c>
      <c r="K106" s="32" t="str">
        <f>VLOOKUP(H106,'Full Item list'!B:O,14,0)</f>
        <v>KG</v>
      </c>
      <c r="L106" s="32"/>
      <c r="M106">
        <f t="shared" si="11"/>
        <v>2.3714285714285716E-2</v>
      </c>
      <c r="N106" t="e">
        <f>VLOOKUP(B106,#REF!,9,0)</f>
        <v>#REF!</v>
      </c>
      <c r="O106">
        <f>IFERROR(IF(J106="KG",VLOOKUP(H106,'Cost Price New'!D:E,2,0),VLOOKUP('BOMs setting'!H106,'Cost Price New'!D:I,6,0)),VLOOKUP(H106,A:R,18,0))</f>
        <v>4.9800000000000004</v>
      </c>
      <c r="P106">
        <v>210</v>
      </c>
      <c r="Q106">
        <v>1</v>
      </c>
      <c r="V106" t="s">
        <v>603</v>
      </c>
      <c r="W106" s="135" t="s">
        <v>604</v>
      </c>
      <c r="AA106" t="str">
        <f>IFERROR(VLOOKUP(A106,'Capacity of production'!A:C,3,0),"")</f>
        <v/>
      </c>
    </row>
    <row r="107" spans="1:27" ht="15.75" thickBot="1">
      <c r="B107" s="41" t="s">
        <v>311</v>
      </c>
      <c r="C107" s="42" t="s">
        <v>313</v>
      </c>
      <c r="D107" s="284">
        <f>I98/AA98</f>
        <v>0.2</v>
      </c>
      <c r="E107" s="31">
        <f t="shared" si="14"/>
        <v>98.213248078252207</v>
      </c>
      <c r="F107" s="45" t="s">
        <v>782</v>
      </c>
      <c r="G107" s="32"/>
      <c r="H107" s="32" t="str">
        <f>VLOOKUP(B107,'Full Item list'!A:B,2,0)</f>
        <v>LAB/OH-Resin</v>
      </c>
      <c r="I107" s="32"/>
      <c r="J107" s="32" t="str">
        <f t="shared" si="15"/>
        <v>H</v>
      </c>
      <c r="K107" s="32" t="str">
        <f>VLOOKUP(H107,'Full Item list'!B:O,14,0)</f>
        <v>H</v>
      </c>
      <c r="L107" s="32"/>
      <c r="O107">
        <f>IFERROR(IF(J107="KG",VLOOKUP(H107,'Cost Price New'!D:E,2,0),VLOOKUP('BOMs setting'!H107,'Cost Price New'!D:I,6,0)),VLOOKUP(H107,A:R,18,0))</f>
        <v>491.06624039126103</v>
      </c>
      <c r="V107" t="s">
        <v>603</v>
      </c>
      <c r="W107" s="135" t="s">
        <v>604</v>
      </c>
      <c r="AA107" t="str">
        <f>IFERROR(VLOOKUP(A107,'Capacity of production'!A:C,3,0),"")</f>
        <v/>
      </c>
    </row>
    <row r="108" spans="1:27" ht="15">
      <c r="B108" s="54"/>
      <c r="C108" s="55"/>
      <c r="D108" s="56"/>
      <c r="E108" s="56" t="s">
        <v>466</v>
      </c>
      <c r="F108" s="56">
        <f>SUM(E100:E107)</f>
        <v>100.4782280782522</v>
      </c>
      <c r="G108" s="55"/>
      <c r="H108" s="55"/>
      <c r="I108" s="55"/>
      <c r="J108" s="55"/>
      <c r="K108" s="55"/>
      <c r="L108" s="55"/>
      <c r="V108" t="s">
        <v>603</v>
      </c>
      <c r="W108" s="135" t="s">
        <v>604</v>
      </c>
      <c r="AA108" t="str">
        <f>IFERROR(VLOOKUP(A108,'Capacity of production'!A:C,3,0),"")</f>
        <v/>
      </c>
    </row>
    <row r="109" spans="1:27" ht="15.75" thickBot="1">
      <c r="B109" s="54"/>
      <c r="C109" s="55"/>
      <c r="D109" s="56"/>
      <c r="E109" s="56"/>
      <c r="F109" s="55"/>
      <c r="G109" s="55"/>
      <c r="H109" s="55"/>
      <c r="I109" s="55"/>
      <c r="J109" s="55"/>
      <c r="K109" s="55"/>
      <c r="L109" s="55"/>
      <c r="V109" t="s">
        <v>603</v>
      </c>
      <c r="W109" s="135" t="s">
        <v>604</v>
      </c>
      <c r="AA109" t="str">
        <f>IFERROR(VLOOKUP(A109,'Capacity of production'!A:C,3,0),"")</f>
        <v/>
      </c>
    </row>
    <row r="110" spans="1:27" ht="16.5" customHeight="1" thickBot="1">
      <c r="A110" s="102" t="s">
        <v>206</v>
      </c>
      <c r="B110" s="20" t="s">
        <v>206</v>
      </c>
      <c r="C110" s="288" t="str">
        <f>VLOOKUP(A110,'All products'!A:B,2,0)</f>
        <v>TECNOPOX-ANCLAJES (A+B 7KG)</v>
      </c>
      <c r="D110" s="288"/>
      <c r="E110" s="288"/>
      <c r="F110" s="289"/>
      <c r="G110" s="21">
        <v>1</v>
      </c>
      <c r="H110" s="21" t="str">
        <f>VLOOKUP(B110,'Full Item list'!A:B,2,0)</f>
        <v>RE020F</v>
      </c>
      <c r="I110" s="21">
        <f>VLOOKUP(H110,'Full Item list'!B:J,9,0)</f>
        <v>7</v>
      </c>
      <c r="J110" s="21"/>
      <c r="K110" s="21" t="str">
        <f>VLOOKUP(H110,'Full Item list'!B:O,14,0)</f>
        <v>PCS</v>
      </c>
      <c r="L110" s="21"/>
      <c r="M110">
        <f t="shared" si="11"/>
        <v>0</v>
      </c>
      <c r="N110" t="e">
        <f>VLOOKUP(B110,#REF!,9,0)</f>
        <v>#REF!</v>
      </c>
      <c r="P110">
        <v>7</v>
      </c>
      <c r="R110">
        <f ca="1">OFFSET(F110,MATCH("Total Cost:",E110:E160,0)-1,0,1,1)/G110</f>
        <v>89.767841664410568</v>
      </c>
      <c r="U110" t="str">
        <f>VLOOKUP(H110,'Full Item list'!B:D,3,0)</f>
        <v>Product</v>
      </c>
      <c r="V110" t="s">
        <v>603</v>
      </c>
      <c r="W110" s="135" t="s">
        <v>604</v>
      </c>
      <c r="X110" t="s">
        <v>606</v>
      </c>
      <c r="AA110">
        <f>IFERROR(VLOOKUP(A110,'Capacity of production'!A:C,3,0),"")</f>
        <v>42</v>
      </c>
    </row>
    <row r="111" spans="1:27" ht="15" thickBot="1">
      <c r="B111" s="23" t="s">
        <v>319</v>
      </c>
      <c r="C111" s="24" t="s">
        <v>320</v>
      </c>
      <c r="D111" s="25" t="s">
        <v>321</v>
      </c>
      <c r="E111" s="25" t="s">
        <v>322</v>
      </c>
      <c r="F111" s="53" t="s">
        <v>323</v>
      </c>
      <c r="G111" s="27"/>
      <c r="H111" s="27"/>
      <c r="I111" s="27"/>
      <c r="J111" s="27"/>
      <c r="K111" s="27"/>
      <c r="L111" s="27"/>
      <c r="V111" t="s">
        <v>603</v>
      </c>
      <c r="W111" s="135" t="s">
        <v>604</v>
      </c>
      <c r="AA111" t="str">
        <f>IFERROR(VLOOKUP(A111,'Capacity of production'!A:C,3,0),"")</f>
        <v/>
      </c>
    </row>
    <row r="112" spans="1:27" ht="15.75" thickBot="1">
      <c r="B112" s="28" t="s">
        <v>324</v>
      </c>
      <c r="C112" s="29" t="s">
        <v>221</v>
      </c>
      <c r="D112" s="29">
        <v>1.1264367816091956</v>
      </c>
      <c r="E112" s="31">
        <f t="shared" ref="E112:E119" si="16">O112*D112</f>
        <v>4.1903448275862081</v>
      </c>
      <c r="F112" s="301"/>
      <c r="G112" s="32"/>
      <c r="H112" s="32" t="str">
        <f>VLOOKUP(B112,'Full Item list'!A:B,2,0)</f>
        <v>RE-290</v>
      </c>
      <c r="I112" s="32"/>
      <c r="J112" s="32" t="str">
        <f t="shared" ref="J112:J119" si="17">K112</f>
        <v>KG</v>
      </c>
      <c r="K112" s="32" t="str">
        <f>VLOOKUP(H112,'Full Item list'!B:O,14,0)</f>
        <v>KG</v>
      </c>
      <c r="L112" s="32"/>
      <c r="M112">
        <f t="shared" si="11"/>
        <v>1.6909090909090908E-2</v>
      </c>
      <c r="N112" t="e">
        <f>VLOOKUP(B112,#REF!,9,0)</f>
        <v>#REF!</v>
      </c>
      <c r="O112">
        <f>IFERROR(IF(J112="KG",VLOOKUP(H112,'Cost Price New'!D:E,2,0),VLOOKUP('BOMs setting'!H112,'Cost Price New'!D:I,6,0)),VLOOKUP(H112,A:R,18,0))</f>
        <v>3.72</v>
      </c>
      <c r="P112">
        <v>220</v>
      </c>
      <c r="Q112">
        <v>1</v>
      </c>
      <c r="V112" t="s">
        <v>603</v>
      </c>
      <c r="W112" s="135" t="s">
        <v>604</v>
      </c>
      <c r="AA112" t="str">
        <f>IFERROR(VLOOKUP(A112,'Capacity of production'!A:C,3,0),"")</f>
        <v/>
      </c>
    </row>
    <row r="113" spans="1:27" ht="15.75" thickBot="1">
      <c r="B113" s="33" t="s">
        <v>325</v>
      </c>
      <c r="C113" s="34" t="s">
        <v>223</v>
      </c>
      <c r="D113" s="34">
        <v>0.24137931034482762</v>
      </c>
      <c r="E113" s="31">
        <f t="shared" si="16"/>
        <v>0.63965517241379322</v>
      </c>
      <c r="F113" s="291"/>
      <c r="G113" s="36"/>
      <c r="H113" s="36" t="str">
        <f>VLOOKUP(B113,'Full Item list'!A:B,2,0)</f>
        <v>RE-300</v>
      </c>
      <c r="I113" s="36"/>
      <c r="J113" s="32" t="str">
        <f t="shared" si="17"/>
        <v>KG</v>
      </c>
      <c r="K113" s="36" t="str">
        <f>VLOOKUP(H113,'Full Item list'!B:O,14,0)</f>
        <v>KG</v>
      </c>
      <c r="L113" s="36"/>
      <c r="M113">
        <f t="shared" si="11"/>
        <v>1.2045454545454545E-2</v>
      </c>
      <c r="N113" t="e">
        <f>VLOOKUP(B113,#REF!,9,0)</f>
        <v>#REF!</v>
      </c>
      <c r="O113">
        <f>IFERROR(IF(J113="KG",VLOOKUP(H113,'Cost Price New'!D:E,2,0),VLOOKUP('BOMs setting'!H113,'Cost Price New'!D:I,6,0)),VLOOKUP(H113,A:R,18,0))</f>
        <v>2.65</v>
      </c>
      <c r="P113">
        <v>220</v>
      </c>
      <c r="Q113">
        <v>1</v>
      </c>
      <c r="V113" t="s">
        <v>603</v>
      </c>
      <c r="W113" s="135" t="s">
        <v>604</v>
      </c>
      <c r="AA113" t="str">
        <f>IFERROR(VLOOKUP(A113,'Capacity of production'!A:C,3,0),"")</f>
        <v/>
      </c>
    </row>
    <row r="114" spans="1:27" ht="15.75" thickBot="1">
      <c r="B114" s="57" t="s">
        <v>337</v>
      </c>
      <c r="C114" s="58" t="s">
        <v>256</v>
      </c>
      <c r="D114" s="58">
        <v>0.10144927536231885</v>
      </c>
      <c r="E114" s="31">
        <f t="shared" si="16"/>
        <v>0.29420289855072462</v>
      </c>
      <c r="F114" s="293"/>
      <c r="G114" s="36"/>
      <c r="H114" s="36" t="str">
        <f>VLOOKUP(B114,'Full Item list'!A:B,2,0)</f>
        <v>SV-300</v>
      </c>
      <c r="I114" s="36"/>
      <c r="J114" s="32" t="str">
        <f t="shared" si="17"/>
        <v>KG</v>
      </c>
      <c r="K114" s="36" t="str">
        <f>VLOOKUP(H114,'Full Item list'!B:O,14,0)</f>
        <v>KG</v>
      </c>
      <c r="L114" s="36"/>
      <c r="M114">
        <f t="shared" si="11"/>
        <v>1.4499999999999999E-2</v>
      </c>
      <c r="N114" t="e">
        <f>VLOOKUP(B114,#REF!,9,0)</f>
        <v>#REF!</v>
      </c>
      <c r="O114">
        <f>IFERROR(IF(J114="KG",VLOOKUP(H114,'Cost Price New'!D:E,2,0),VLOOKUP('BOMs setting'!H114,'Cost Price New'!D:I,6,0)),VLOOKUP(H114,A:R,18,0))</f>
        <v>2.9</v>
      </c>
      <c r="P114">
        <v>200</v>
      </c>
      <c r="Q114">
        <v>1</v>
      </c>
      <c r="V114" t="s">
        <v>603</v>
      </c>
      <c r="W114" s="135" t="s">
        <v>604</v>
      </c>
      <c r="AA114" t="str">
        <f>IFERROR(VLOOKUP(A114,'Capacity of production'!A:C,3,0),"")</f>
        <v/>
      </c>
    </row>
    <row r="115" spans="1:27" ht="15.75" thickBot="1">
      <c r="B115" s="57" t="s">
        <v>336</v>
      </c>
      <c r="C115" s="58" t="s">
        <v>115</v>
      </c>
      <c r="D115" s="58">
        <v>0.48275862068965525</v>
      </c>
      <c r="E115" s="31">
        <f t="shared" si="16"/>
        <v>2.7758620689655178E-2</v>
      </c>
      <c r="F115" s="293"/>
      <c r="G115" s="36"/>
      <c r="H115" s="36" t="str">
        <f>VLOOKUP(B115,'Full Item list'!A:B,2,0)</f>
        <v>FS-540</v>
      </c>
      <c r="I115" s="36"/>
      <c r="J115" s="32" t="str">
        <f t="shared" si="17"/>
        <v>KG</v>
      </c>
      <c r="K115" s="36" t="str">
        <f>VLOOKUP(H115,'Full Item list'!B:O,14,0)</f>
        <v>KG</v>
      </c>
      <c r="L115" s="36"/>
      <c r="M115" s="22" t="e">
        <f t="shared" si="11"/>
        <v>#DIV/0!</v>
      </c>
      <c r="N115" s="22" t="e">
        <f>VLOOKUP(B115,#REF!,9,0)</f>
        <v>#REF!</v>
      </c>
      <c r="O115">
        <f>IFERROR(IF(J115="KG",VLOOKUP(H115,'Cost Price New'!D:E,2,0),VLOOKUP('BOMs setting'!H115,'Cost Price New'!D:I,6,0)),VLOOKUP(H115,A:R,18,0))</f>
        <v>5.7500000000000002E-2</v>
      </c>
      <c r="P115" s="22"/>
      <c r="Q115">
        <v>1</v>
      </c>
      <c r="V115" t="s">
        <v>603</v>
      </c>
      <c r="W115" s="135" t="s">
        <v>604</v>
      </c>
      <c r="AA115" t="str">
        <f>IFERROR(VLOOKUP(A115,'Capacity of production'!A:C,3,0),"")</f>
        <v/>
      </c>
    </row>
    <row r="116" spans="1:27" ht="15.75" thickBot="1">
      <c r="B116" s="57" t="s">
        <v>338</v>
      </c>
      <c r="C116" s="58" t="s">
        <v>117</v>
      </c>
      <c r="D116" s="58">
        <v>1.7316341829085458</v>
      </c>
      <c r="E116" s="31">
        <f t="shared" si="16"/>
        <v>6.060719640179911E-2</v>
      </c>
      <c r="F116" s="293"/>
      <c r="G116" s="36"/>
      <c r="H116" s="36" t="str">
        <f>VLOOKUP(B116,'Full Item list'!A:B,2,0)</f>
        <v>FS-550</v>
      </c>
      <c r="I116" s="36"/>
      <c r="J116" s="32" t="str">
        <f t="shared" si="17"/>
        <v>KG</v>
      </c>
      <c r="K116" s="36" t="str">
        <f>VLOOKUP(H116,'Full Item list'!B:O,14,0)</f>
        <v>KG</v>
      </c>
      <c r="L116" s="36"/>
      <c r="M116" s="22" t="e">
        <f t="shared" si="11"/>
        <v>#DIV/0!</v>
      </c>
      <c r="N116" s="22" t="e">
        <f>VLOOKUP(B116,#REF!,9,0)</f>
        <v>#REF!</v>
      </c>
      <c r="O116">
        <f>IFERROR(IF(J116="KG",VLOOKUP(H116,'Cost Price New'!D:E,2,0),VLOOKUP('BOMs setting'!H116,'Cost Price New'!D:I,6,0)),VLOOKUP(H116,A:R,18,0))</f>
        <v>3.5000000000000003E-2</v>
      </c>
      <c r="P116" s="22"/>
      <c r="Q116">
        <v>1</v>
      </c>
      <c r="V116" t="s">
        <v>602</v>
      </c>
      <c r="W116" s="135" t="s">
        <v>605</v>
      </c>
      <c r="AA116" t="str">
        <f>IFERROR(VLOOKUP(A116,'Capacity of production'!A:C,3,0),"")</f>
        <v/>
      </c>
    </row>
    <row r="117" spans="1:27" ht="15.75" thickBot="1">
      <c r="B117" s="38" t="s">
        <v>339</v>
      </c>
      <c r="C117" s="39" t="s">
        <v>340</v>
      </c>
      <c r="D117" s="39">
        <v>2.7916041979010497</v>
      </c>
      <c r="E117" s="31">
        <f t="shared" si="16"/>
        <v>9.7706146926536744E-2</v>
      </c>
      <c r="F117" s="302"/>
      <c r="G117" s="37"/>
      <c r="H117" s="37" t="str">
        <f>VLOOKUP(B117,'Full Item list'!A:B,2,0)</f>
        <v>FS-560</v>
      </c>
      <c r="I117" s="37"/>
      <c r="J117" s="32" t="str">
        <f t="shared" si="17"/>
        <v>KG</v>
      </c>
      <c r="K117" s="37" t="str">
        <f>VLOOKUP(H117,'Full Item list'!B:O,14,0)</f>
        <v>KG</v>
      </c>
      <c r="L117" s="37"/>
      <c r="M117" s="22" t="e">
        <f t="shared" si="11"/>
        <v>#DIV/0!</v>
      </c>
      <c r="N117" s="22" t="e">
        <f>VLOOKUP(B117,#REF!,9,0)</f>
        <v>#REF!</v>
      </c>
      <c r="O117">
        <f>IFERROR(IF(J117="KG",VLOOKUP(H117,'Cost Price New'!D:E,2,0),VLOOKUP('BOMs setting'!H117,'Cost Price New'!D:I,6,0)),VLOOKUP(H117,A:R,18,0))</f>
        <v>3.5000000000000003E-2</v>
      </c>
      <c r="P117" s="22"/>
      <c r="Q117">
        <v>1</v>
      </c>
      <c r="V117" t="s">
        <v>602</v>
      </c>
      <c r="W117" s="135" t="s">
        <v>605</v>
      </c>
      <c r="AA117" t="str">
        <f>IFERROR(VLOOKUP(A117,'Capacity of production'!A:C,3,0),"")</f>
        <v/>
      </c>
    </row>
    <row r="118" spans="1:27" ht="15.75" thickBot="1">
      <c r="B118" s="41" t="s">
        <v>335</v>
      </c>
      <c r="C118" s="42" t="s">
        <v>103</v>
      </c>
      <c r="D118" s="43">
        <v>0.52473763118440786</v>
      </c>
      <c r="E118" s="31">
        <f t="shared" si="16"/>
        <v>2.6131934032983515</v>
      </c>
      <c r="F118" s="45"/>
      <c r="G118" s="32"/>
      <c r="H118" s="32" t="str">
        <f>VLOOKUP(B118,'Full Item list'!A:B,2,0)</f>
        <v>CT-670</v>
      </c>
      <c r="I118" s="32"/>
      <c r="J118" s="32" t="str">
        <f t="shared" si="17"/>
        <v>KG</v>
      </c>
      <c r="K118" s="32" t="str">
        <f>VLOOKUP(H118,'Full Item list'!B:O,14,0)</f>
        <v>KG</v>
      </c>
      <c r="L118" s="32"/>
      <c r="M118">
        <f t="shared" si="11"/>
        <v>2.3714285714285716E-2</v>
      </c>
      <c r="N118" t="e">
        <f>VLOOKUP(B118,#REF!,9,0)</f>
        <v>#REF!</v>
      </c>
      <c r="O118">
        <f>IFERROR(IF(J118="KG",VLOOKUP(H118,'Cost Price New'!D:E,2,0),VLOOKUP('BOMs setting'!H118,'Cost Price New'!D:I,6,0)),VLOOKUP(H118,A:R,18,0))</f>
        <v>4.9800000000000004</v>
      </c>
      <c r="P118">
        <v>210</v>
      </c>
      <c r="Q118">
        <v>1</v>
      </c>
      <c r="V118" t="s">
        <v>603</v>
      </c>
      <c r="W118" s="135" t="s">
        <v>604</v>
      </c>
      <c r="AA118" t="str">
        <f>IFERROR(VLOOKUP(A118,'Capacity of production'!A:C,3,0),"")</f>
        <v/>
      </c>
    </row>
    <row r="119" spans="1:27" ht="15.75" thickBot="1">
      <c r="B119" s="41" t="s">
        <v>311</v>
      </c>
      <c r="C119" s="42" t="s">
        <v>313</v>
      </c>
      <c r="D119" s="284">
        <f>I110/AA110</f>
        <v>0.16666666666666666</v>
      </c>
      <c r="E119" s="31">
        <f t="shared" si="16"/>
        <v>81.844373398543496</v>
      </c>
      <c r="F119" s="45" t="s">
        <v>782</v>
      </c>
      <c r="G119" s="32"/>
      <c r="H119" s="32" t="str">
        <f>VLOOKUP(B119,'Full Item list'!A:B,2,0)</f>
        <v>LAB/OH-Resin</v>
      </c>
      <c r="I119" s="32"/>
      <c r="J119" s="32" t="str">
        <f t="shared" si="17"/>
        <v>H</v>
      </c>
      <c r="K119" s="32" t="str">
        <f>VLOOKUP(H119,'Full Item list'!B:O,14,0)</f>
        <v>H</v>
      </c>
      <c r="L119" s="32"/>
      <c r="O119">
        <f>IFERROR(IF(J119="KG",VLOOKUP(H119,'Cost Price New'!D:E,2,0),VLOOKUP('BOMs setting'!H119,'Cost Price New'!D:I,6,0)),VLOOKUP(H119,A:R,18,0))</f>
        <v>491.06624039126103</v>
      </c>
      <c r="V119" t="s">
        <v>603</v>
      </c>
      <c r="W119" s="135" t="s">
        <v>604</v>
      </c>
      <c r="AA119" t="str">
        <f>IFERROR(VLOOKUP(A119,'Capacity of production'!A:C,3,0),"")</f>
        <v/>
      </c>
    </row>
    <row r="120" spans="1:27" ht="15">
      <c r="B120" s="54"/>
      <c r="C120" s="55"/>
      <c r="D120" s="56"/>
      <c r="E120" s="56" t="s">
        <v>466</v>
      </c>
      <c r="F120" s="56">
        <f>SUM(E111:E119)</f>
        <v>89.767841664410568</v>
      </c>
      <c r="G120" s="55"/>
      <c r="H120" s="55"/>
      <c r="I120" s="55"/>
      <c r="J120" s="55"/>
      <c r="K120" s="55"/>
      <c r="L120" s="55"/>
      <c r="V120" t="s">
        <v>603</v>
      </c>
      <c r="W120" s="135" t="s">
        <v>604</v>
      </c>
      <c r="AA120" t="str">
        <f>IFERROR(VLOOKUP(A120,'Capacity of production'!A:C,3,0),"")</f>
        <v/>
      </c>
    </row>
    <row r="121" spans="1:27" ht="15.75" thickBot="1">
      <c r="B121" s="54"/>
      <c r="C121" s="55"/>
      <c r="D121" s="56"/>
      <c r="E121" s="56"/>
      <c r="F121" s="55"/>
      <c r="G121" s="55"/>
      <c r="H121" s="55"/>
      <c r="I121" s="55"/>
      <c r="J121" s="55"/>
      <c r="K121" s="55"/>
      <c r="L121" s="55"/>
      <c r="V121" t="s">
        <v>603</v>
      </c>
      <c r="W121" s="135" t="s">
        <v>604</v>
      </c>
      <c r="AA121" t="str">
        <f>IFERROR(VLOOKUP(A121,'Capacity of production'!A:C,3,0),"")</f>
        <v/>
      </c>
    </row>
    <row r="122" spans="1:27" ht="16.5" customHeight="1" thickBot="1">
      <c r="A122" s="103" t="s">
        <v>207</v>
      </c>
      <c r="B122" s="20" t="s">
        <v>207</v>
      </c>
      <c r="C122" s="288" t="str">
        <f>VLOOKUP(A122,'All products'!A:B,2,0)</f>
        <v>TECNOPOX-ANCLAJES (A+B 14KG)</v>
      </c>
      <c r="D122" s="288"/>
      <c r="E122" s="288"/>
      <c r="F122" s="289"/>
      <c r="G122" s="21">
        <v>1</v>
      </c>
      <c r="H122" s="21" t="str">
        <f>VLOOKUP(B122,'Full Item list'!A:B,2,0)</f>
        <v>RE030F</v>
      </c>
      <c r="I122" s="21">
        <f>VLOOKUP(H122,'Full Item list'!B:J,9,0)</f>
        <v>14</v>
      </c>
      <c r="J122" s="21"/>
      <c r="K122" s="21" t="str">
        <f>VLOOKUP(H122,'Full Item list'!B:O,14,0)</f>
        <v>PCS</v>
      </c>
      <c r="L122" s="21"/>
      <c r="M122">
        <f t="shared" si="11"/>
        <v>0</v>
      </c>
      <c r="N122" t="e">
        <f>VLOOKUP(B122,#REF!,9,0)</f>
        <v>#REF!</v>
      </c>
      <c r="P122">
        <v>14</v>
      </c>
      <c r="R122">
        <f ca="1">OFFSET(F122,MATCH("Total Cost:",E122:E172,0)-1,0,1,1)/G122</f>
        <v>85.999256587628565</v>
      </c>
      <c r="U122" t="str">
        <f>VLOOKUP(H122,'Full Item list'!B:D,3,0)</f>
        <v>Product</v>
      </c>
      <c r="V122" t="s">
        <v>603</v>
      </c>
      <c r="W122" s="135" t="s">
        <v>604</v>
      </c>
      <c r="X122" t="s">
        <v>606</v>
      </c>
      <c r="AA122">
        <f>IFERROR(VLOOKUP(A122,'Capacity of production'!A:C,3,0),"")</f>
        <v>98</v>
      </c>
    </row>
    <row r="123" spans="1:27" ht="15" thickBot="1">
      <c r="B123" s="23" t="s">
        <v>319</v>
      </c>
      <c r="C123" s="24" t="s">
        <v>320</v>
      </c>
      <c r="D123" s="25" t="s">
        <v>321</v>
      </c>
      <c r="E123" s="25" t="s">
        <v>322</v>
      </c>
      <c r="F123" s="53" t="s">
        <v>323</v>
      </c>
      <c r="G123" s="27"/>
      <c r="H123" s="27"/>
      <c r="I123" s="27"/>
      <c r="J123" s="27"/>
      <c r="K123" s="27"/>
      <c r="L123" s="27"/>
      <c r="V123" t="s">
        <v>603</v>
      </c>
      <c r="W123" s="135" t="s">
        <v>604</v>
      </c>
      <c r="AA123" t="str">
        <f>IFERROR(VLOOKUP(A123,'Capacity of production'!A:C,3,0),"")</f>
        <v/>
      </c>
    </row>
    <row r="124" spans="1:27" ht="15.75" thickBot="1">
      <c r="B124" s="28" t="s">
        <v>324</v>
      </c>
      <c r="C124" s="29" t="s">
        <v>221</v>
      </c>
      <c r="D124" s="29">
        <v>2.2528735632183912</v>
      </c>
      <c r="E124" s="31">
        <f t="shared" ref="E124:E131" si="18">O124*D124</f>
        <v>8.3806896551724162</v>
      </c>
      <c r="F124" s="301"/>
      <c r="G124" s="32"/>
      <c r="H124" s="32" t="str">
        <f>VLOOKUP(B124,'Full Item list'!A:B,2,0)</f>
        <v>RE-290</v>
      </c>
      <c r="I124" s="32"/>
      <c r="J124" s="32" t="str">
        <f t="shared" ref="J124:J131" si="19">K124</f>
        <v>KG</v>
      </c>
      <c r="K124" s="32" t="str">
        <f>VLOOKUP(H124,'Full Item list'!B:O,14,0)</f>
        <v>KG</v>
      </c>
      <c r="L124" s="32"/>
      <c r="M124">
        <f t="shared" si="11"/>
        <v>1.6909090909090908E-2</v>
      </c>
      <c r="N124" t="e">
        <f>VLOOKUP(B124,#REF!,9,0)</f>
        <v>#REF!</v>
      </c>
      <c r="O124">
        <f>IFERROR(IF(J124="KG",VLOOKUP(H124,'Cost Price New'!D:E,2,0),VLOOKUP('BOMs setting'!H124,'Cost Price New'!D:I,6,0)),VLOOKUP(H124,A:R,18,0))</f>
        <v>3.72</v>
      </c>
      <c r="P124">
        <v>220</v>
      </c>
      <c r="Q124">
        <v>1</v>
      </c>
      <c r="V124" t="s">
        <v>603</v>
      </c>
      <c r="W124" s="135" t="s">
        <v>604</v>
      </c>
      <c r="AA124" t="str">
        <f>IFERROR(VLOOKUP(A124,'Capacity of production'!A:C,3,0),"")</f>
        <v/>
      </c>
    </row>
    <row r="125" spans="1:27" ht="15.75" thickBot="1">
      <c r="B125" s="33" t="s">
        <v>325</v>
      </c>
      <c r="C125" s="34" t="s">
        <v>223</v>
      </c>
      <c r="D125" s="34">
        <v>0.48275862068965525</v>
      </c>
      <c r="E125" s="31">
        <f t="shared" si="18"/>
        <v>1.2793103448275864</v>
      </c>
      <c r="F125" s="291"/>
      <c r="G125" s="36"/>
      <c r="H125" s="36" t="str">
        <f>VLOOKUP(B125,'Full Item list'!A:B,2,0)</f>
        <v>RE-300</v>
      </c>
      <c r="I125" s="36"/>
      <c r="J125" s="32" t="str">
        <f t="shared" si="19"/>
        <v>KG</v>
      </c>
      <c r="K125" s="36" t="str">
        <f>VLOOKUP(H125,'Full Item list'!B:O,14,0)</f>
        <v>KG</v>
      </c>
      <c r="L125" s="36"/>
      <c r="M125">
        <f t="shared" si="11"/>
        <v>1.2045454545454545E-2</v>
      </c>
      <c r="N125" t="e">
        <f>VLOOKUP(B125,#REF!,9,0)</f>
        <v>#REF!</v>
      </c>
      <c r="O125">
        <f>IFERROR(IF(J125="KG",VLOOKUP(H125,'Cost Price New'!D:E,2,0),VLOOKUP('BOMs setting'!H125,'Cost Price New'!D:I,6,0)),VLOOKUP(H125,A:R,18,0))</f>
        <v>2.65</v>
      </c>
      <c r="P125">
        <v>220</v>
      </c>
      <c r="Q125">
        <v>1</v>
      </c>
      <c r="V125" t="s">
        <v>603</v>
      </c>
      <c r="W125" s="135" t="s">
        <v>604</v>
      </c>
      <c r="AA125" t="str">
        <f>IFERROR(VLOOKUP(A125,'Capacity of production'!A:C,3,0),"")</f>
        <v/>
      </c>
    </row>
    <row r="126" spans="1:27" ht="15.75" thickBot="1">
      <c r="B126" s="57" t="s">
        <v>337</v>
      </c>
      <c r="C126" s="58" t="s">
        <v>256</v>
      </c>
      <c r="D126" s="58">
        <v>0.20289855072463769</v>
      </c>
      <c r="E126" s="31">
        <f t="shared" si="18"/>
        <v>0.58840579710144925</v>
      </c>
      <c r="F126" s="293"/>
      <c r="G126" s="36"/>
      <c r="H126" s="36" t="str">
        <f>VLOOKUP(B126,'Full Item list'!A:B,2,0)</f>
        <v>SV-300</v>
      </c>
      <c r="I126" s="36"/>
      <c r="J126" s="32" t="str">
        <f t="shared" si="19"/>
        <v>KG</v>
      </c>
      <c r="K126" s="36" t="str">
        <f>VLOOKUP(H126,'Full Item list'!B:O,14,0)</f>
        <v>KG</v>
      </c>
      <c r="L126" s="36"/>
      <c r="M126">
        <f t="shared" si="11"/>
        <v>1.4499999999999999E-2</v>
      </c>
      <c r="N126" t="e">
        <f>VLOOKUP(B126,#REF!,9,0)</f>
        <v>#REF!</v>
      </c>
      <c r="O126">
        <f>IFERROR(IF(J126="KG",VLOOKUP(H126,'Cost Price New'!D:E,2,0),VLOOKUP('BOMs setting'!H126,'Cost Price New'!D:I,6,0)),VLOOKUP(H126,A:R,18,0))</f>
        <v>2.9</v>
      </c>
      <c r="P126">
        <v>200</v>
      </c>
      <c r="Q126">
        <v>1</v>
      </c>
      <c r="V126" t="s">
        <v>603</v>
      </c>
      <c r="W126" s="135" t="s">
        <v>604</v>
      </c>
      <c r="AA126" t="str">
        <f>IFERROR(VLOOKUP(A126,'Capacity of production'!A:C,3,0),"")</f>
        <v/>
      </c>
    </row>
    <row r="127" spans="1:27" ht="15.75" thickBot="1">
      <c r="B127" s="57" t="s">
        <v>336</v>
      </c>
      <c r="C127" s="58" t="s">
        <v>115</v>
      </c>
      <c r="D127" s="58">
        <v>0.9655172413793105</v>
      </c>
      <c r="E127" s="31">
        <f t="shared" si="18"/>
        <v>5.5517241379310356E-2</v>
      </c>
      <c r="F127" s="293"/>
      <c r="G127" s="36"/>
      <c r="H127" s="36" t="str">
        <f>VLOOKUP(B127,'Full Item list'!A:B,2,0)</f>
        <v>FS-540</v>
      </c>
      <c r="I127" s="36"/>
      <c r="J127" s="32" t="str">
        <f t="shared" si="19"/>
        <v>KG</v>
      </c>
      <c r="K127" s="36" t="str">
        <f>VLOOKUP(H127,'Full Item list'!B:O,14,0)</f>
        <v>KG</v>
      </c>
      <c r="L127" s="36"/>
      <c r="M127" s="22" t="e">
        <f t="shared" si="11"/>
        <v>#DIV/0!</v>
      </c>
      <c r="N127" s="22" t="e">
        <f>VLOOKUP(B127,#REF!,9,0)</f>
        <v>#REF!</v>
      </c>
      <c r="O127">
        <f>IFERROR(IF(J127="KG",VLOOKUP(H127,'Cost Price New'!D:E,2,0),VLOOKUP('BOMs setting'!H127,'Cost Price New'!D:I,6,0)),VLOOKUP(H127,A:R,18,0))</f>
        <v>5.7500000000000002E-2</v>
      </c>
      <c r="P127" s="22"/>
      <c r="Q127">
        <v>1</v>
      </c>
      <c r="V127" t="s">
        <v>603</v>
      </c>
      <c r="W127" s="135" t="s">
        <v>604</v>
      </c>
      <c r="AA127" t="str">
        <f>IFERROR(VLOOKUP(A127,'Capacity of production'!A:C,3,0),"")</f>
        <v/>
      </c>
    </row>
    <row r="128" spans="1:27" ht="15.75" thickBot="1">
      <c r="B128" s="57" t="s">
        <v>338</v>
      </c>
      <c r="C128" s="58" t="s">
        <v>117</v>
      </c>
      <c r="D128" s="58">
        <v>3.4632683658170915</v>
      </c>
      <c r="E128" s="31">
        <f t="shared" si="18"/>
        <v>0.12121439280359822</v>
      </c>
      <c r="F128" s="293"/>
      <c r="G128" s="36"/>
      <c r="H128" s="36" t="str">
        <f>VLOOKUP(B128,'Full Item list'!A:B,2,0)</f>
        <v>FS-550</v>
      </c>
      <c r="I128" s="36"/>
      <c r="J128" s="32" t="str">
        <f t="shared" si="19"/>
        <v>KG</v>
      </c>
      <c r="K128" s="36" t="str">
        <f>VLOOKUP(H128,'Full Item list'!B:O,14,0)</f>
        <v>KG</v>
      </c>
      <c r="L128" s="36"/>
      <c r="M128" s="22" t="e">
        <f t="shared" si="11"/>
        <v>#DIV/0!</v>
      </c>
      <c r="N128" s="22" t="e">
        <f>VLOOKUP(B128,#REF!,9,0)</f>
        <v>#REF!</v>
      </c>
      <c r="O128">
        <f>IFERROR(IF(J128="KG",VLOOKUP(H128,'Cost Price New'!D:E,2,0),VLOOKUP('BOMs setting'!H128,'Cost Price New'!D:I,6,0)),VLOOKUP(H128,A:R,18,0))</f>
        <v>3.5000000000000003E-2</v>
      </c>
      <c r="P128" s="22"/>
      <c r="Q128">
        <v>1</v>
      </c>
      <c r="V128" t="s">
        <v>602</v>
      </c>
      <c r="W128" s="135" t="s">
        <v>605</v>
      </c>
      <c r="AA128" t="str">
        <f>IFERROR(VLOOKUP(A128,'Capacity of production'!A:C,3,0),"")</f>
        <v/>
      </c>
    </row>
    <row r="129" spans="1:27" ht="15.75" thickBot="1">
      <c r="B129" s="38" t="s">
        <v>339</v>
      </c>
      <c r="C129" s="39" t="s">
        <v>340</v>
      </c>
      <c r="D129" s="39">
        <v>5.5832083958020995</v>
      </c>
      <c r="E129" s="31">
        <f t="shared" si="18"/>
        <v>0.19541229385307349</v>
      </c>
      <c r="F129" s="302"/>
      <c r="G129" s="37"/>
      <c r="H129" s="37" t="str">
        <f>VLOOKUP(B129,'Full Item list'!A:B,2,0)</f>
        <v>FS-560</v>
      </c>
      <c r="I129" s="37"/>
      <c r="J129" s="32" t="str">
        <f t="shared" si="19"/>
        <v>KG</v>
      </c>
      <c r="K129" s="37" t="str">
        <f>VLOOKUP(H129,'Full Item list'!B:O,14,0)</f>
        <v>KG</v>
      </c>
      <c r="L129" s="37"/>
      <c r="M129" s="22" t="e">
        <f t="shared" si="11"/>
        <v>#DIV/0!</v>
      </c>
      <c r="N129" s="22" t="e">
        <f>VLOOKUP(B129,#REF!,9,0)</f>
        <v>#REF!</v>
      </c>
      <c r="O129">
        <f>IFERROR(IF(J129="KG",VLOOKUP(H129,'Cost Price New'!D:E,2,0),VLOOKUP('BOMs setting'!H129,'Cost Price New'!D:I,6,0)),VLOOKUP(H129,A:R,18,0))</f>
        <v>3.5000000000000003E-2</v>
      </c>
      <c r="P129" s="22"/>
      <c r="Q129">
        <v>1</v>
      </c>
      <c r="V129" t="s">
        <v>602</v>
      </c>
      <c r="W129" s="135" t="s">
        <v>605</v>
      </c>
      <c r="AA129" t="str">
        <f>IFERROR(VLOOKUP(A129,'Capacity of production'!A:C,3,0),"")</f>
        <v/>
      </c>
    </row>
    <row r="130" spans="1:27" ht="15.75" thickBot="1">
      <c r="B130" s="41" t="s">
        <v>335</v>
      </c>
      <c r="C130" s="42" t="s">
        <v>103</v>
      </c>
      <c r="D130" s="43">
        <v>1.0494752623688157</v>
      </c>
      <c r="E130" s="31">
        <f t="shared" si="18"/>
        <v>5.226386806596703</v>
      </c>
      <c r="F130" s="45"/>
      <c r="G130" s="32"/>
      <c r="H130" s="32" t="str">
        <f>VLOOKUP(B130,'Full Item list'!A:B,2,0)</f>
        <v>CT-670</v>
      </c>
      <c r="I130" s="32"/>
      <c r="J130" s="32" t="str">
        <f t="shared" si="19"/>
        <v>KG</v>
      </c>
      <c r="K130" s="32" t="str">
        <f>VLOOKUP(H130,'Full Item list'!B:O,14,0)</f>
        <v>KG</v>
      </c>
      <c r="L130" s="32"/>
      <c r="M130">
        <f t="shared" si="11"/>
        <v>2.3714285714285716E-2</v>
      </c>
      <c r="N130" t="e">
        <f>VLOOKUP(B130,#REF!,9,0)</f>
        <v>#REF!</v>
      </c>
      <c r="O130">
        <f>IFERROR(IF(J130="KG",VLOOKUP(H130,'Cost Price New'!D:E,2,0),VLOOKUP('BOMs setting'!H130,'Cost Price New'!D:I,6,0)),VLOOKUP(H130,A:R,18,0))</f>
        <v>4.9800000000000004</v>
      </c>
      <c r="P130">
        <v>210</v>
      </c>
      <c r="Q130">
        <v>1</v>
      </c>
      <c r="V130" t="s">
        <v>603</v>
      </c>
      <c r="W130" s="135" t="s">
        <v>604</v>
      </c>
      <c r="AA130" t="str">
        <f>IFERROR(VLOOKUP(A130,'Capacity of production'!A:C,3,0),"")</f>
        <v/>
      </c>
    </row>
    <row r="131" spans="1:27" ht="15.75" thickBot="1">
      <c r="B131" s="41" t="s">
        <v>311</v>
      </c>
      <c r="C131" s="42" t="s">
        <v>313</v>
      </c>
      <c r="D131" s="284">
        <f>I122/AA122</f>
        <v>0.14285714285714285</v>
      </c>
      <c r="E131" s="31">
        <f t="shared" si="18"/>
        <v>70.152320055894435</v>
      </c>
      <c r="F131" s="45" t="s">
        <v>782</v>
      </c>
      <c r="G131" s="32"/>
      <c r="H131" s="32" t="str">
        <f>VLOOKUP(B131,'Full Item list'!A:B,2,0)</f>
        <v>LAB/OH-Resin</v>
      </c>
      <c r="I131" s="32"/>
      <c r="J131" s="32" t="str">
        <f t="shared" si="19"/>
        <v>H</v>
      </c>
      <c r="K131" s="32" t="str">
        <f>VLOOKUP(H131,'Full Item list'!B:O,14,0)</f>
        <v>H</v>
      </c>
      <c r="L131" s="32"/>
      <c r="O131">
        <f>IFERROR(IF(J131="KG",VLOOKUP(H131,'Cost Price New'!D:E,2,0),VLOOKUP('BOMs setting'!H131,'Cost Price New'!D:I,6,0)),VLOOKUP(H131,A:R,18,0))</f>
        <v>491.06624039126103</v>
      </c>
      <c r="V131" t="s">
        <v>603</v>
      </c>
      <c r="W131" s="135" t="s">
        <v>604</v>
      </c>
      <c r="AA131" t="str">
        <f>IFERROR(VLOOKUP(A131,'Capacity of production'!A:C,3,0),"")</f>
        <v/>
      </c>
    </row>
    <row r="132" spans="1:27" ht="15">
      <c r="B132" s="54"/>
      <c r="C132" s="55"/>
      <c r="D132" s="56"/>
      <c r="E132" s="56" t="s">
        <v>466</v>
      </c>
      <c r="F132" s="56">
        <f>SUM(E124:E131)</f>
        <v>85.999256587628565</v>
      </c>
      <c r="G132" s="55"/>
      <c r="H132" s="55"/>
      <c r="I132" s="55"/>
      <c r="J132" s="55"/>
      <c r="K132" s="55"/>
      <c r="L132" s="55"/>
      <c r="V132" t="s">
        <v>603</v>
      </c>
      <c r="W132" s="135" t="s">
        <v>604</v>
      </c>
      <c r="AA132" t="str">
        <f>IFERROR(VLOOKUP(A132,'Capacity of production'!A:C,3,0),"")</f>
        <v/>
      </c>
    </row>
    <row r="133" spans="1:27" ht="15.75" thickBot="1">
      <c r="B133" s="54"/>
      <c r="C133" s="55"/>
      <c r="D133" s="56"/>
      <c r="E133" s="56"/>
      <c r="F133" s="55"/>
      <c r="G133" s="55"/>
      <c r="H133" s="55"/>
      <c r="I133" s="55"/>
      <c r="J133" s="55"/>
      <c r="K133" s="55"/>
      <c r="L133" s="55"/>
      <c r="V133" t="s">
        <v>603</v>
      </c>
      <c r="W133" s="135" t="s">
        <v>604</v>
      </c>
      <c r="AA133" t="str">
        <f>IFERROR(VLOOKUP(A133,'Capacity of production'!A:C,3,0),"")</f>
        <v/>
      </c>
    </row>
    <row r="134" spans="1:27" ht="16.5" thickBot="1">
      <c r="A134" t="str">
        <f>B134</f>
        <v>RE050C</v>
      </c>
      <c r="B134" s="20" t="s">
        <v>210</v>
      </c>
      <c r="C134" s="288" t="str">
        <f>VLOOKUP(A134,'All products'!A:B,2,0)</f>
        <v>TECNOPOX-IN (A+B 2KG)</v>
      </c>
      <c r="D134" s="288"/>
      <c r="E134" s="288"/>
      <c r="F134" s="289"/>
      <c r="G134" s="21">
        <v>1</v>
      </c>
      <c r="H134" s="21" t="str">
        <f>VLOOKUP(B134,'Full Item list'!A:B,2,0)</f>
        <v>RE050C</v>
      </c>
      <c r="I134" s="21">
        <f>VLOOKUP(H134,'Full Item list'!B:J,9,0)</f>
        <v>2</v>
      </c>
      <c r="J134" s="21"/>
      <c r="K134" s="21" t="str">
        <f>VLOOKUP(H134,'Full Item list'!B:O,14,0)</f>
        <v>PCS</v>
      </c>
      <c r="L134" s="21"/>
      <c r="M134">
        <f t="shared" si="11"/>
        <v>0</v>
      </c>
      <c r="N134" t="e">
        <f>VLOOKUP(B134,#REF!,9,0)</f>
        <v>#REF!</v>
      </c>
      <c r="P134">
        <v>2</v>
      </c>
      <c r="R134">
        <f ca="1">OFFSET(F134,MATCH("Total Cost:",E134:E184,0)-1,0,1,1)/G134</f>
        <v>27.36132480782522</v>
      </c>
      <c r="U134" t="str">
        <f>VLOOKUP(H134,'Full Item list'!B:D,3,0)</f>
        <v>Product</v>
      </c>
      <c r="V134" t="s">
        <v>603</v>
      </c>
      <c r="W134" s="135" t="s">
        <v>604</v>
      </c>
      <c r="X134" t="s">
        <v>607</v>
      </c>
      <c r="AA134">
        <f>IFERROR(VLOOKUP(A134,'Capacity of production'!A:C,3,0),"")</f>
        <v>100</v>
      </c>
    </row>
    <row r="135" spans="1:27" ht="15" thickBot="1">
      <c r="B135" s="23" t="s">
        <v>319</v>
      </c>
      <c r="C135" s="24" t="s">
        <v>320</v>
      </c>
      <c r="D135" s="25" t="s">
        <v>321</v>
      </c>
      <c r="E135" s="25" t="s">
        <v>322</v>
      </c>
      <c r="F135" s="26" t="s">
        <v>323</v>
      </c>
      <c r="G135" s="27"/>
      <c r="H135" s="27"/>
      <c r="I135" s="27"/>
      <c r="J135" s="27"/>
      <c r="K135" s="27"/>
      <c r="L135" s="27"/>
      <c r="V135" t="s">
        <v>603</v>
      </c>
      <c r="W135" s="135" t="s">
        <v>604</v>
      </c>
      <c r="Z135" t="s">
        <v>622</v>
      </c>
      <c r="AA135" t="str">
        <f>IFERROR(VLOOKUP(A135,'Capacity of production'!A:C,3,0),"")</f>
        <v/>
      </c>
    </row>
    <row r="136" spans="1:27" ht="15.75" thickBot="1">
      <c r="B136" s="41" t="s">
        <v>624</v>
      </c>
      <c r="C136" s="42" t="s">
        <v>186</v>
      </c>
      <c r="D136" s="43">
        <v>1</v>
      </c>
      <c r="E136" s="31">
        <f>O136*D136</f>
        <v>17.54</v>
      </c>
      <c r="F136" s="45"/>
      <c r="G136" s="32"/>
      <c r="H136" s="32" t="str">
        <f>VLOOKUP(B136,'Full Item list'!A:B,2,0)</f>
        <v>MPRE033</v>
      </c>
      <c r="I136" s="32"/>
      <c r="J136" s="32" t="str">
        <f t="shared" ref="J136:J138" si="20">K136</f>
        <v>PCS</v>
      </c>
      <c r="K136" s="32" t="str">
        <f>VLOOKUP(H136,'Full Item list'!B:O,14,0)</f>
        <v>PCS</v>
      </c>
      <c r="L136" s="32"/>
      <c r="M136">
        <f t="shared" si="11"/>
        <v>3.508</v>
      </c>
      <c r="N136" t="e">
        <f>VLOOKUP(B136,#REF!,9,0)</f>
        <v>#REF!</v>
      </c>
      <c r="O136">
        <f>IFERROR(IF(J136="KG",VLOOKUP(H136,'Cost Price New'!D:E,2,0),VLOOKUP('BOMs setting'!H136,'Cost Price New'!D:I,6,0)),VLOOKUP(H136,A:R,18,0))</f>
        <v>17.54</v>
      </c>
      <c r="P136">
        <v>5</v>
      </c>
      <c r="Q136">
        <v>1</v>
      </c>
      <c r="V136" t="s">
        <v>603</v>
      </c>
      <c r="W136" s="135" t="s">
        <v>604</v>
      </c>
      <c r="Z136" t="s">
        <v>623</v>
      </c>
      <c r="AA136" t="str">
        <f>IFERROR(VLOOKUP(A136,'Capacity of production'!A:C,3,0),"")</f>
        <v/>
      </c>
    </row>
    <row r="137" spans="1:27" ht="15.75" thickBot="1">
      <c r="B137" s="41" t="s">
        <v>624</v>
      </c>
      <c r="C137" s="42" t="s">
        <v>186</v>
      </c>
      <c r="D137" s="43">
        <v>0</v>
      </c>
      <c r="E137" s="31">
        <f>O137*D137</f>
        <v>0</v>
      </c>
      <c r="F137" s="45"/>
      <c r="G137" s="32"/>
      <c r="H137" s="32" t="str">
        <f>VLOOKUP(B137,'Full Item list'!A:B,2,0)</f>
        <v>MPRE033</v>
      </c>
      <c r="I137" s="32"/>
      <c r="J137" s="32" t="str">
        <f t="shared" si="20"/>
        <v>PCS</v>
      </c>
      <c r="K137" s="32" t="str">
        <f>VLOOKUP(H137,'Full Item list'!B:O,14,0)</f>
        <v>PCS</v>
      </c>
      <c r="L137" s="32"/>
      <c r="M137">
        <f t="shared" si="11"/>
        <v>3.508</v>
      </c>
      <c r="N137" t="e">
        <f>VLOOKUP(B137,#REF!,9,0)</f>
        <v>#REF!</v>
      </c>
      <c r="O137">
        <f>IFERROR(IF(J137="KG",VLOOKUP(H137,'Cost Price New'!D:E,2,0),VLOOKUP('BOMs setting'!H137,'Cost Price New'!D:I,6,0)),VLOOKUP(H137,A:R,18,0))</f>
        <v>17.54</v>
      </c>
      <c r="P137">
        <v>5</v>
      </c>
      <c r="Q137">
        <v>1</v>
      </c>
      <c r="V137" t="s">
        <v>603</v>
      </c>
      <c r="W137" s="135" t="s">
        <v>604</v>
      </c>
      <c r="AA137" t="str">
        <f>IFERROR(VLOOKUP(A137,'Capacity of production'!A:C,3,0),"")</f>
        <v/>
      </c>
    </row>
    <row r="138" spans="1:27" ht="15.75" thickBot="1">
      <c r="B138" s="41" t="s">
        <v>311</v>
      </c>
      <c r="C138" s="42" t="s">
        <v>313</v>
      </c>
      <c r="D138" s="284">
        <f>I134/AA134</f>
        <v>0.02</v>
      </c>
      <c r="E138" s="31">
        <f>O138*D138</f>
        <v>9.8213248078252207</v>
      </c>
      <c r="F138" s="45" t="s">
        <v>782</v>
      </c>
      <c r="G138" s="32"/>
      <c r="H138" s="32" t="str">
        <f>VLOOKUP(B138,'Full Item list'!A:B,2,0)</f>
        <v>LAB/OH-Resin</v>
      </c>
      <c r="I138" s="32"/>
      <c r="J138" s="32" t="str">
        <f t="shared" si="20"/>
        <v>H</v>
      </c>
      <c r="K138" s="32" t="str">
        <f>VLOOKUP(H138,'Full Item list'!B:O,14,0)</f>
        <v>H</v>
      </c>
      <c r="L138" s="32"/>
      <c r="O138">
        <f>IFERROR(IF(J138="KG",VLOOKUP(H138,'Cost Price New'!D:E,2,0),VLOOKUP('BOMs setting'!H138,'Cost Price New'!D:I,6,0)),VLOOKUP(H138,A:R,18,0))</f>
        <v>491.06624039126103</v>
      </c>
      <c r="V138" t="s">
        <v>603</v>
      </c>
      <c r="W138" s="135" t="s">
        <v>604</v>
      </c>
      <c r="AA138" t="str">
        <f>IFERROR(VLOOKUP(A138,'Capacity of production'!A:C,3,0),"")</f>
        <v/>
      </c>
    </row>
    <row r="139" spans="1:27" ht="15">
      <c r="B139" s="54"/>
      <c r="C139" s="55"/>
      <c r="D139" s="56"/>
      <c r="E139" s="56" t="s">
        <v>466</v>
      </c>
      <c r="F139" s="56">
        <f>SUM(E136:E138)</f>
        <v>27.36132480782522</v>
      </c>
      <c r="G139" s="55"/>
      <c r="H139" s="55"/>
      <c r="I139" s="55"/>
      <c r="J139" s="55"/>
      <c r="K139" s="55"/>
      <c r="L139" s="55"/>
      <c r="V139" t="s">
        <v>603</v>
      </c>
      <c r="W139" s="135" t="s">
        <v>604</v>
      </c>
      <c r="AA139" t="str">
        <f>IFERROR(VLOOKUP(A139,'Capacity of production'!A:C,3,0),"")</f>
        <v/>
      </c>
    </row>
    <row r="140" spans="1:27" ht="15.75" thickBot="1">
      <c r="B140" s="54"/>
      <c r="C140" s="55"/>
      <c r="D140" s="56"/>
      <c r="E140" s="56"/>
      <c r="F140" s="55"/>
      <c r="G140" s="55"/>
      <c r="H140" s="55"/>
      <c r="I140" s="55"/>
      <c r="J140" s="55"/>
      <c r="K140" s="55"/>
      <c r="L140" s="55"/>
      <c r="V140" t="s">
        <v>603</v>
      </c>
      <c r="W140" s="135" t="s">
        <v>604</v>
      </c>
      <c r="AA140" t="str">
        <f>IFERROR(VLOOKUP(A140,'Capacity of production'!A:C,3,0),"")</f>
        <v/>
      </c>
    </row>
    <row r="141" spans="1:27" ht="16.5" thickBot="1">
      <c r="A141" s="103" t="s">
        <v>211</v>
      </c>
      <c r="B141" s="20" t="s">
        <v>211</v>
      </c>
      <c r="C141" s="288" t="str">
        <f>VLOOKUP(A141,'All products'!A:B,2,0)</f>
        <v>TECNOPOX-IN (A+B 5KG)</v>
      </c>
      <c r="D141" s="288"/>
      <c r="E141" s="288"/>
      <c r="F141" s="289"/>
      <c r="G141" s="21">
        <v>1</v>
      </c>
      <c r="H141" s="21" t="str">
        <f>VLOOKUP(B141,'Full Item list'!A:B,2,0)</f>
        <v>RE060C</v>
      </c>
      <c r="I141" s="21">
        <f>VLOOKUP(H141,'Full Item list'!B:J,9,0)</f>
        <v>5</v>
      </c>
      <c r="J141" s="21"/>
      <c r="K141" s="21" t="str">
        <f>VLOOKUP(H141,'Full Item list'!B:O,14,0)</f>
        <v>PCS</v>
      </c>
      <c r="L141" s="21"/>
      <c r="M141">
        <f t="shared" si="11"/>
        <v>0</v>
      </c>
      <c r="N141" t="e">
        <f>VLOOKUP(B141,#REF!,9,0)</f>
        <v>#REF!</v>
      </c>
      <c r="P141">
        <v>5</v>
      </c>
      <c r="R141">
        <f ca="1">OFFSET(F141,MATCH("Total Cost:",E141:E191,0)-1,0,1,1)/G141</f>
        <v>50.721324807825219</v>
      </c>
      <c r="U141" t="str">
        <f>VLOOKUP(H141,'Full Item list'!B:D,3,0)</f>
        <v>Product</v>
      </c>
      <c r="V141" t="s">
        <v>603</v>
      </c>
      <c r="W141" s="135" t="s">
        <v>604</v>
      </c>
      <c r="X141" t="s">
        <v>607</v>
      </c>
      <c r="AA141">
        <f>IFERROR(VLOOKUP(A141,'Capacity of production'!A:C,3,0),"")</f>
        <v>250</v>
      </c>
    </row>
    <row r="142" spans="1:27" ht="15" thickBot="1">
      <c r="B142" s="23" t="s">
        <v>319</v>
      </c>
      <c r="C142" s="24" t="s">
        <v>320</v>
      </c>
      <c r="D142" s="25" t="s">
        <v>321</v>
      </c>
      <c r="E142" s="25" t="s">
        <v>322</v>
      </c>
      <c r="F142" s="26" t="s">
        <v>323</v>
      </c>
      <c r="G142" s="27"/>
      <c r="H142" s="27"/>
      <c r="I142" s="27"/>
      <c r="J142" s="27"/>
      <c r="K142" s="27"/>
      <c r="L142" s="27"/>
      <c r="M142" t="e">
        <f t="shared" ref="M142:M210" si="21">O142/P142</f>
        <v>#DIV/0!</v>
      </c>
      <c r="N142" t="e">
        <f>VLOOKUP(B142,#REF!,9,0)</f>
        <v>#REF!</v>
      </c>
      <c r="V142" t="s">
        <v>603</v>
      </c>
      <c r="W142" s="135" t="s">
        <v>604</v>
      </c>
      <c r="AA142" t="str">
        <f>IFERROR(VLOOKUP(A142,'Capacity of production'!A:C,3,0),"")</f>
        <v/>
      </c>
    </row>
    <row r="143" spans="1:27" ht="15.75" thickBot="1">
      <c r="B143" s="41" t="s">
        <v>625</v>
      </c>
      <c r="C143" s="42" t="s">
        <v>186</v>
      </c>
      <c r="D143" s="43">
        <v>1</v>
      </c>
      <c r="E143" s="31">
        <f>O143*D143</f>
        <v>40.9</v>
      </c>
      <c r="F143" s="45"/>
      <c r="G143" s="32"/>
      <c r="H143" s="32" t="str">
        <f>VLOOKUP(B143,'Full Item list'!A:B,2,0)</f>
        <v>MPRE034</v>
      </c>
      <c r="I143" s="32"/>
      <c r="J143" s="32" t="str">
        <f t="shared" ref="J143:J145" si="22">K143</f>
        <v>PCS</v>
      </c>
      <c r="K143" s="32" t="str">
        <f>VLOOKUP(H143,'Full Item list'!B:O,14,0)</f>
        <v>PCS</v>
      </c>
      <c r="L143" s="32"/>
      <c r="M143">
        <f t="shared" si="21"/>
        <v>8.18</v>
      </c>
      <c r="N143" t="e">
        <f>VLOOKUP(B143,#REF!,9,0)</f>
        <v>#REF!</v>
      </c>
      <c r="O143">
        <f>IFERROR(IF(J143="KG",VLOOKUP(H143,'Cost Price New'!D:E,2,0),VLOOKUP('BOMs setting'!H143,'Cost Price New'!D:I,6,0)),VLOOKUP(H143,A:R,18,0))</f>
        <v>40.9</v>
      </c>
      <c r="P143">
        <v>5</v>
      </c>
      <c r="Q143">
        <v>1</v>
      </c>
      <c r="V143" t="s">
        <v>603</v>
      </c>
      <c r="W143" s="135" t="s">
        <v>604</v>
      </c>
      <c r="AA143" t="str">
        <f>IFERROR(VLOOKUP(A143,'Capacity of production'!A:C,3,0),"")</f>
        <v/>
      </c>
    </row>
    <row r="144" spans="1:27" ht="15.75" thickBot="1">
      <c r="B144" s="41" t="s">
        <v>625</v>
      </c>
      <c r="C144" s="42" t="s">
        <v>186</v>
      </c>
      <c r="D144" s="43">
        <v>0</v>
      </c>
      <c r="E144" s="31">
        <f>O144*D144</f>
        <v>0</v>
      </c>
      <c r="F144" s="45"/>
      <c r="G144" s="32"/>
      <c r="H144" s="32" t="str">
        <f>VLOOKUP(B144,'Full Item list'!A:B,2,0)</f>
        <v>MPRE034</v>
      </c>
      <c r="I144" s="32"/>
      <c r="J144" s="32" t="str">
        <f t="shared" si="22"/>
        <v>PCS</v>
      </c>
      <c r="K144" s="32" t="str">
        <f>VLOOKUP(H144,'Full Item list'!B:O,14,0)</f>
        <v>PCS</v>
      </c>
      <c r="L144" s="32"/>
      <c r="M144">
        <f t="shared" si="21"/>
        <v>8.18</v>
      </c>
      <c r="N144" t="e">
        <f>VLOOKUP(B144,#REF!,9,0)</f>
        <v>#REF!</v>
      </c>
      <c r="O144">
        <f>IFERROR(IF(J144="KG",VLOOKUP(H144,'Cost Price New'!D:E,2,0),VLOOKUP('BOMs setting'!H144,'Cost Price New'!D:I,6,0)),VLOOKUP(H144,A:R,18,0))</f>
        <v>40.9</v>
      </c>
      <c r="P144">
        <v>5</v>
      </c>
      <c r="Q144">
        <v>1</v>
      </c>
      <c r="V144" t="s">
        <v>603</v>
      </c>
      <c r="W144" s="135" t="s">
        <v>604</v>
      </c>
      <c r="AA144" t="str">
        <f>IFERROR(VLOOKUP(A144,'Capacity of production'!A:C,3,0),"")</f>
        <v/>
      </c>
    </row>
    <row r="145" spans="1:27" ht="15.75" thickBot="1">
      <c r="B145" s="41" t="s">
        <v>311</v>
      </c>
      <c r="C145" s="42" t="s">
        <v>313</v>
      </c>
      <c r="D145" s="284">
        <f>I141/AA141</f>
        <v>0.02</v>
      </c>
      <c r="E145" s="31">
        <f>O145*D145</f>
        <v>9.8213248078252207</v>
      </c>
      <c r="F145" s="45" t="s">
        <v>782</v>
      </c>
      <c r="G145" s="32"/>
      <c r="H145" s="32" t="str">
        <f>VLOOKUP(B145,'Full Item list'!A:B,2,0)</f>
        <v>LAB/OH-Resin</v>
      </c>
      <c r="I145" s="32"/>
      <c r="J145" s="32" t="str">
        <f t="shared" si="22"/>
        <v>H</v>
      </c>
      <c r="K145" s="32" t="str">
        <f>VLOOKUP(H145,'Full Item list'!B:O,14,0)</f>
        <v>H</v>
      </c>
      <c r="L145" s="32"/>
      <c r="O145">
        <f>IFERROR(IF(J145="KG",VLOOKUP(H145,'Cost Price New'!D:E,2,0),VLOOKUP('BOMs setting'!H145,'Cost Price New'!D:I,6,0)),VLOOKUP(H145,A:R,18,0))</f>
        <v>491.06624039126103</v>
      </c>
      <c r="V145" t="s">
        <v>603</v>
      </c>
      <c r="W145" s="135" t="s">
        <v>604</v>
      </c>
      <c r="AA145" t="str">
        <f>IFERROR(VLOOKUP(A145,'Capacity of production'!A:C,3,0),"")</f>
        <v/>
      </c>
    </row>
    <row r="146" spans="1:27" ht="15">
      <c r="B146" s="54"/>
      <c r="C146" s="55"/>
      <c r="D146" s="56"/>
      <c r="E146" s="56" t="s">
        <v>466</v>
      </c>
      <c r="F146" s="56">
        <f>SUM(E143:E145)</f>
        <v>50.721324807825219</v>
      </c>
      <c r="G146" s="55"/>
      <c r="H146" s="55"/>
      <c r="I146" s="55"/>
      <c r="J146" s="55"/>
      <c r="K146" s="55"/>
      <c r="L146" s="55"/>
      <c r="V146" t="s">
        <v>603</v>
      </c>
      <c r="W146" s="135" t="s">
        <v>604</v>
      </c>
      <c r="AA146" t="str">
        <f>IFERROR(VLOOKUP(A146,'Capacity of production'!A:C,3,0),"")</f>
        <v/>
      </c>
    </row>
    <row r="147" spans="1:27" ht="15.75" thickBot="1">
      <c r="B147" s="54"/>
      <c r="C147" s="55"/>
      <c r="D147" s="56"/>
      <c r="E147" s="56"/>
      <c r="F147" s="55"/>
      <c r="G147" s="55"/>
      <c r="H147" s="55"/>
      <c r="I147" s="55"/>
      <c r="J147" s="55"/>
      <c r="K147" s="55"/>
      <c r="L147" s="55"/>
      <c r="V147" t="s">
        <v>603</v>
      </c>
      <c r="W147" s="135" t="s">
        <v>604</v>
      </c>
      <c r="AA147" t="str">
        <f>IFERROR(VLOOKUP(A147,'Capacity of production'!A:C,3,0),"")</f>
        <v/>
      </c>
    </row>
    <row r="148" spans="1:27" ht="16.5" thickBot="1">
      <c r="A148" s="102" t="s">
        <v>212</v>
      </c>
      <c r="B148" s="20" t="s">
        <v>212</v>
      </c>
      <c r="C148" s="288" t="str">
        <f>VLOOKUP(A148,'All products'!A:B,2,0)</f>
        <v>TECNOPOX-IN (A+B 1KG)</v>
      </c>
      <c r="D148" s="288"/>
      <c r="E148" s="288"/>
      <c r="F148" s="289"/>
      <c r="G148" s="21">
        <v>1</v>
      </c>
      <c r="H148" s="21" t="str">
        <f>VLOOKUP(B148,'Full Item list'!A:B,2,0)</f>
        <v>RE061C</v>
      </c>
      <c r="I148" s="21">
        <f>VLOOKUP(H148,'Full Item list'!B:J,9,0)</f>
        <v>1</v>
      </c>
      <c r="J148" s="21"/>
      <c r="K148" s="21" t="str">
        <f>VLOOKUP(H148,'Full Item list'!B:O,14,0)</f>
        <v>PCS</v>
      </c>
      <c r="L148" s="21"/>
      <c r="M148">
        <f t="shared" si="21"/>
        <v>0</v>
      </c>
      <c r="N148" t="e">
        <f>VLOOKUP(B148,#REF!,9,0)</f>
        <v>#REF!</v>
      </c>
      <c r="P148">
        <v>1</v>
      </c>
      <c r="R148">
        <f ca="1">OFFSET(F148,MATCH("Total Cost:",E148:E198,0)-1,0,1,1)/G148</f>
        <v>18.36132480782522</v>
      </c>
      <c r="U148" t="str">
        <f>VLOOKUP(H148,'Full Item list'!B:D,3,0)</f>
        <v>Product</v>
      </c>
      <c r="V148" t="s">
        <v>603</v>
      </c>
      <c r="W148" s="135" t="s">
        <v>604</v>
      </c>
      <c r="X148" t="s">
        <v>607</v>
      </c>
      <c r="AA148">
        <f>IFERROR(VLOOKUP(A148,'Capacity of production'!A:C,3,0),"")</f>
        <v>50</v>
      </c>
    </row>
    <row r="149" spans="1:27" ht="15" thickBot="1">
      <c r="B149" s="23" t="s">
        <v>319</v>
      </c>
      <c r="C149" s="24" t="s">
        <v>320</v>
      </c>
      <c r="D149" s="25" t="s">
        <v>321</v>
      </c>
      <c r="E149" s="25" t="s">
        <v>322</v>
      </c>
      <c r="F149" s="26" t="s">
        <v>323</v>
      </c>
      <c r="G149" s="27"/>
      <c r="H149" s="27"/>
      <c r="I149" s="27"/>
      <c r="J149" s="27"/>
      <c r="K149" s="27"/>
      <c r="L149" s="27"/>
      <c r="V149" t="s">
        <v>603</v>
      </c>
      <c r="W149" s="135" t="s">
        <v>604</v>
      </c>
      <c r="AA149" t="str">
        <f>IFERROR(VLOOKUP(A149,'Capacity of production'!A:C,3,0),"")</f>
        <v/>
      </c>
    </row>
    <row r="150" spans="1:27" ht="15.75" thickBot="1">
      <c r="B150" s="41" t="s">
        <v>185</v>
      </c>
      <c r="C150" s="42" t="s">
        <v>186</v>
      </c>
      <c r="D150" s="43">
        <v>1</v>
      </c>
      <c r="E150" s="31">
        <f>O150*D150</f>
        <v>8.5399999999999991</v>
      </c>
      <c r="F150" s="45"/>
      <c r="G150" s="32"/>
      <c r="H150" s="32" t="str">
        <f>VLOOKUP(B150,'Full Item list'!A:B,2,0)</f>
        <v>MPRE032</v>
      </c>
      <c r="I150" s="32"/>
      <c r="J150" s="32" t="str">
        <f t="shared" ref="J150:J152" si="23">K150</f>
        <v>PCS</v>
      </c>
      <c r="K150" s="32" t="str">
        <f>VLOOKUP(H150,'Full Item list'!B:O,14,0)</f>
        <v>PCS</v>
      </c>
      <c r="L150" s="32"/>
      <c r="M150">
        <f t="shared" si="21"/>
        <v>1.7079999999999997</v>
      </c>
      <c r="N150" t="e">
        <f>VLOOKUP(B150,#REF!,9,0)</f>
        <v>#REF!</v>
      </c>
      <c r="O150">
        <f>IFERROR(IF(J150="KG",VLOOKUP(H150,'Cost Price New'!D:E,2,0),VLOOKUP('BOMs setting'!H150,'Cost Price New'!D:I,6,0)),VLOOKUP(H150,A:R,18,0))</f>
        <v>8.5399999999999991</v>
      </c>
      <c r="P150">
        <v>5</v>
      </c>
      <c r="Q150">
        <v>1</v>
      </c>
      <c r="V150" t="s">
        <v>603</v>
      </c>
      <c r="W150" s="135" t="s">
        <v>604</v>
      </c>
      <c r="Y150" t="s">
        <v>621</v>
      </c>
      <c r="AA150" t="str">
        <f>IFERROR(VLOOKUP(A150,'Capacity of production'!A:C,3,0),"")</f>
        <v/>
      </c>
    </row>
    <row r="151" spans="1:27" ht="15.75" thickBot="1">
      <c r="B151" s="41" t="s">
        <v>185</v>
      </c>
      <c r="C151" s="42" t="s">
        <v>186</v>
      </c>
      <c r="D151" s="43"/>
      <c r="E151" s="31">
        <f>O151*D151</f>
        <v>0</v>
      </c>
      <c r="F151" s="45"/>
      <c r="G151" s="32"/>
      <c r="H151" s="32" t="str">
        <f>VLOOKUP(B151,'Full Item list'!A:B,2,0)</f>
        <v>MPRE032</v>
      </c>
      <c r="I151" s="32"/>
      <c r="J151" s="32" t="str">
        <f t="shared" si="23"/>
        <v>PCS</v>
      </c>
      <c r="K151" s="32" t="str">
        <f>VLOOKUP(H151,'Full Item list'!B:O,14,0)</f>
        <v>PCS</v>
      </c>
      <c r="L151" s="32"/>
      <c r="M151">
        <f t="shared" si="21"/>
        <v>1.7079999999999997</v>
      </c>
      <c r="N151" t="e">
        <f>VLOOKUP(B151,#REF!,9,0)</f>
        <v>#REF!</v>
      </c>
      <c r="O151">
        <f>IFERROR(IF(J151="KG",VLOOKUP(H151,'Cost Price New'!D:E,2,0),VLOOKUP('BOMs setting'!H151,'Cost Price New'!D:I,6,0)),VLOOKUP(H151,A:R,18,0))</f>
        <v>8.5399999999999991</v>
      </c>
      <c r="P151">
        <v>5</v>
      </c>
      <c r="Q151">
        <v>1</v>
      </c>
      <c r="V151" t="s">
        <v>603</v>
      </c>
      <c r="W151" s="135" t="s">
        <v>604</v>
      </c>
      <c r="AA151" t="str">
        <f>IFERROR(VLOOKUP(A151,'Capacity of production'!A:C,3,0),"")</f>
        <v/>
      </c>
    </row>
    <row r="152" spans="1:27" ht="15.75" thickBot="1">
      <c r="B152" s="41" t="s">
        <v>311</v>
      </c>
      <c r="C152" s="42" t="s">
        <v>313</v>
      </c>
      <c r="D152" s="284">
        <f>I148/AA148</f>
        <v>0.02</v>
      </c>
      <c r="E152" s="31">
        <f>O152*D152</f>
        <v>9.8213248078252207</v>
      </c>
      <c r="F152" s="45" t="s">
        <v>782</v>
      </c>
      <c r="G152" s="32"/>
      <c r="H152" s="32" t="str">
        <f>VLOOKUP(B152,'Full Item list'!A:B,2,0)</f>
        <v>LAB/OH-Resin</v>
      </c>
      <c r="I152" s="32"/>
      <c r="J152" s="32" t="str">
        <f t="shared" si="23"/>
        <v>H</v>
      </c>
      <c r="K152" s="32" t="str">
        <f>VLOOKUP(H152,'Full Item list'!B:O,14,0)</f>
        <v>H</v>
      </c>
      <c r="L152" s="32"/>
      <c r="O152">
        <f>IFERROR(IF(J152="KG",VLOOKUP(H152,'Cost Price New'!D:E,2,0),VLOOKUP('BOMs setting'!H152,'Cost Price New'!D:I,6,0)),VLOOKUP(H152,A:R,18,0))</f>
        <v>491.06624039126103</v>
      </c>
      <c r="V152" t="s">
        <v>603</v>
      </c>
      <c r="W152" s="135" t="s">
        <v>604</v>
      </c>
      <c r="AA152" t="str">
        <f>IFERROR(VLOOKUP(A152,'Capacity of production'!A:C,3,0),"")</f>
        <v/>
      </c>
    </row>
    <row r="153" spans="1:27" ht="15">
      <c r="B153" s="54"/>
      <c r="C153" s="55"/>
      <c r="D153" s="56"/>
      <c r="E153" s="56" t="s">
        <v>466</v>
      </c>
      <c r="F153" s="56">
        <f>SUM(E150:E152)</f>
        <v>18.36132480782522</v>
      </c>
      <c r="G153" s="55"/>
      <c r="H153" s="55"/>
      <c r="I153" s="55"/>
      <c r="J153" s="55"/>
      <c r="K153" s="55"/>
      <c r="L153" s="55"/>
      <c r="V153" t="s">
        <v>603</v>
      </c>
      <c r="W153" s="135" t="s">
        <v>604</v>
      </c>
      <c r="AA153" t="str">
        <f>IFERROR(VLOOKUP(A153,'Capacity of production'!A:C,3,0),"")</f>
        <v/>
      </c>
    </row>
    <row r="154" spans="1:27" ht="15.75" thickBot="1">
      <c r="B154" s="54"/>
      <c r="C154" s="55"/>
      <c r="D154" s="56"/>
      <c r="E154" s="56"/>
      <c r="F154" s="55"/>
      <c r="G154" s="55"/>
      <c r="H154" s="55"/>
      <c r="I154" s="55"/>
      <c r="J154" s="55"/>
      <c r="K154" s="55"/>
      <c r="L154" s="55"/>
      <c r="V154" t="s">
        <v>603</v>
      </c>
      <c r="W154" s="135" t="s">
        <v>604</v>
      </c>
      <c r="AA154" t="str">
        <f>IFERROR(VLOOKUP(A154,'Capacity of production'!A:C,3,0),"")</f>
        <v/>
      </c>
    </row>
    <row r="155" spans="1:27" ht="16.5" thickBot="1">
      <c r="A155" s="103" t="s">
        <v>213</v>
      </c>
      <c r="B155" s="20" t="s">
        <v>213</v>
      </c>
      <c r="C155" s="288" t="str">
        <f>VLOOKUP(A155,'All products'!A:B,2,0)</f>
        <v>TECNOPOX-FL (A+B 2KG)</v>
      </c>
      <c r="D155" s="288"/>
      <c r="E155" s="288"/>
      <c r="F155" s="289"/>
      <c r="G155" s="21">
        <v>1</v>
      </c>
      <c r="H155" s="21" t="str">
        <f>VLOOKUP(B155,'Full Item list'!A:B,2,0)</f>
        <v>RE070F</v>
      </c>
      <c r="I155" s="21">
        <f>VLOOKUP(H155,'Full Item list'!B:J,9,0)</f>
        <v>2</v>
      </c>
      <c r="J155" s="21"/>
      <c r="K155" s="21" t="str">
        <f>VLOOKUP(H155,'Full Item list'!B:O,14,0)</f>
        <v>PCS</v>
      </c>
      <c r="L155" s="21"/>
      <c r="M155">
        <f t="shared" si="21"/>
        <v>0</v>
      </c>
      <c r="N155" t="e">
        <f>VLOOKUP(B155,#REF!,9,0)</f>
        <v>#REF!</v>
      </c>
      <c r="P155">
        <v>2</v>
      </c>
      <c r="R155">
        <f ca="1">OFFSET(F155,MATCH("Total Cost:",E155:E205,0)-1,0,1,1)/G155</f>
        <v>29.622306103967873</v>
      </c>
      <c r="U155" t="str">
        <f>VLOOKUP(H155,'Full Item list'!B:D,3,0)</f>
        <v>Product</v>
      </c>
      <c r="V155" t="s">
        <v>603</v>
      </c>
      <c r="W155" s="135" t="s">
        <v>604</v>
      </c>
      <c r="X155" t="s">
        <v>606</v>
      </c>
      <c r="AA155">
        <f>IFERROR(VLOOKUP(A155,'Capacity of production'!A:C,3,0),"")</f>
        <v>46</v>
      </c>
    </row>
    <row r="156" spans="1:27" ht="15" thickBot="1">
      <c r="B156" s="23" t="s">
        <v>319</v>
      </c>
      <c r="C156" s="24" t="s">
        <v>320</v>
      </c>
      <c r="D156" s="25" t="s">
        <v>321</v>
      </c>
      <c r="E156" s="25" t="s">
        <v>322</v>
      </c>
      <c r="F156" s="26" t="s">
        <v>323</v>
      </c>
      <c r="G156" s="27"/>
      <c r="H156" s="27"/>
      <c r="I156" s="27"/>
      <c r="J156" s="27"/>
      <c r="K156" s="27"/>
      <c r="L156" s="27"/>
      <c r="V156" t="s">
        <v>603</v>
      </c>
      <c r="W156" s="135" t="s">
        <v>604</v>
      </c>
      <c r="AA156" t="str">
        <f>IFERROR(VLOOKUP(A156,'Capacity of production'!A:C,3,0),"")</f>
        <v/>
      </c>
    </row>
    <row r="157" spans="1:27" ht="15.75" thickBot="1">
      <c r="B157" s="41" t="s">
        <v>324</v>
      </c>
      <c r="C157" s="42" t="s">
        <v>221</v>
      </c>
      <c r="D157" s="43">
        <v>1.34</v>
      </c>
      <c r="E157" s="31">
        <f>O157*D157</f>
        <v>4.9848000000000008</v>
      </c>
      <c r="F157" s="45"/>
      <c r="G157" s="32"/>
      <c r="H157" s="32" t="str">
        <f>VLOOKUP(B157,'Full Item list'!A:B,2,0)</f>
        <v>RE-290</v>
      </c>
      <c r="I157" s="32"/>
      <c r="J157" s="32" t="str">
        <f t="shared" ref="J157:J159" si="24">K157</f>
        <v>KG</v>
      </c>
      <c r="K157" s="32" t="str">
        <f>VLOOKUP(H157,'Full Item list'!B:O,14,0)</f>
        <v>KG</v>
      </c>
      <c r="L157" s="32"/>
      <c r="M157">
        <f t="shared" si="21"/>
        <v>1.6909090909090908E-2</v>
      </c>
      <c r="N157" t="e">
        <f>VLOOKUP(B157,#REF!,9,0)</f>
        <v>#REF!</v>
      </c>
      <c r="O157">
        <f>IFERROR(IF(J157="KG",VLOOKUP(H157,'Cost Price New'!D:E,2,0),VLOOKUP('BOMs setting'!H157,'Cost Price New'!D:I,6,0)),VLOOKUP(H157,A:R,18,0))</f>
        <v>3.72</v>
      </c>
      <c r="P157">
        <v>220</v>
      </c>
      <c r="Q157">
        <v>1</v>
      </c>
      <c r="V157" t="s">
        <v>603</v>
      </c>
      <c r="W157" s="135" t="s">
        <v>604</v>
      </c>
      <c r="AA157" t="str">
        <f>IFERROR(VLOOKUP(A157,'Capacity of production'!A:C,3,0),"")</f>
        <v/>
      </c>
    </row>
    <row r="158" spans="1:27" ht="15.75" thickBot="1">
      <c r="B158" s="41" t="s">
        <v>335</v>
      </c>
      <c r="C158" s="42" t="s">
        <v>103</v>
      </c>
      <c r="D158" s="43">
        <v>0.65999999999999992</v>
      </c>
      <c r="E158" s="31">
        <f>O158*D158</f>
        <v>3.2867999999999999</v>
      </c>
      <c r="F158" s="45"/>
      <c r="G158" s="32"/>
      <c r="H158" s="32" t="str">
        <f>VLOOKUP(B158,'Full Item list'!A:B,2,0)</f>
        <v>CT-670</v>
      </c>
      <c r="I158" s="32"/>
      <c r="J158" s="32" t="str">
        <f t="shared" si="24"/>
        <v>KG</v>
      </c>
      <c r="K158" s="32" t="str">
        <f>VLOOKUP(H158,'Full Item list'!B:O,14,0)</f>
        <v>KG</v>
      </c>
      <c r="L158" s="32"/>
      <c r="M158">
        <f t="shared" si="21"/>
        <v>2.3714285714285716E-2</v>
      </c>
      <c r="N158" t="e">
        <f>VLOOKUP(B158,#REF!,9,0)</f>
        <v>#REF!</v>
      </c>
      <c r="O158">
        <f>IFERROR(IF(J158="KG",VLOOKUP(H158,'Cost Price New'!D:E,2,0),VLOOKUP('BOMs setting'!H158,'Cost Price New'!D:I,6,0)),VLOOKUP(H158,A:R,18,0))</f>
        <v>4.9800000000000004</v>
      </c>
      <c r="P158">
        <v>210</v>
      </c>
      <c r="Q158">
        <v>1</v>
      </c>
      <c r="V158" t="s">
        <v>603</v>
      </c>
      <c r="W158" s="135" t="s">
        <v>604</v>
      </c>
      <c r="AA158" t="str">
        <f>IFERROR(VLOOKUP(A158,'Capacity of production'!A:C,3,0),"")</f>
        <v/>
      </c>
    </row>
    <row r="159" spans="1:27" ht="15.75" thickBot="1">
      <c r="B159" s="41" t="s">
        <v>311</v>
      </c>
      <c r="C159" s="42" t="s">
        <v>313</v>
      </c>
      <c r="D159" s="284">
        <f>I155/AA155</f>
        <v>4.3478260869565216E-2</v>
      </c>
      <c r="E159" s="31">
        <f>O159*D159</f>
        <v>21.35070610396787</v>
      </c>
      <c r="F159" s="45" t="s">
        <v>782</v>
      </c>
      <c r="G159" s="32"/>
      <c r="H159" s="32" t="str">
        <f>VLOOKUP(B159,'Full Item list'!A:B,2,0)</f>
        <v>LAB/OH-Resin</v>
      </c>
      <c r="I159" s="32"/>
      <c r="J159" s="32" t="str">
        <f t="shared" si="24"/>
        <v>H</v>
      </c>
      <c r="K159" s="32" t="str">
        <f>VLOOKUP(H159,'Full Item list'!B:O,14,0)</f>
        <v>H</v>
      </c>
      <c r="L159" s="32"/>
      <c r="O159">
        <f>IFERROR(IF(J159="KG",VLOOKUP(H159,'Cost Price New'!D:E,2,0),VLOOKUP('BOMs setting'!H159,'Cost Price New'!D:I,6,0)),VLOOKUP(H159,A:R,18,0))</f>
        <v>491.06624039126103</v>
      </c>
      <c r="V159" t="s">
        <v>603</v>
      </c>
      <c r="W159" s="135" t="s">
        <v>604</v>
      </c>
      <c r="AA159" t="str">
        <f>IFERROR(VLOOKUP(A159,'Capacity of production'!A:C,3,0),"")</f>
        <v/>
      </c>
    </row>
    <row r="160" spans="1:27" ht="15">
      <c r="B160" s="54"/>
      <c r="C160" s="55"/>
      <c r="D160" s="56"/>
      <c r="E160" s="56" t="s">
        <v>466</v>
      </c>
      <c r="F160" s="56">
        <f>SUM(E157:E159)</f>
        <v>29.622306103967873</v>
      </c>
      <c r="G160" s="55"/>
      <c r="H160" s="55"/>
      <c r="I160" s="55"/>
      <c r="J160" s="55"/>
      <c r="K160" s="55"/>
      <c r="L160" s="55"/>
      <c r="V160" t="s">
        <v>603</v>
      </c>
      <c r="W160" s="135" t="s">
        <v>604</v>
      </c>
      <c r="AA160" t="str">
        <f>IFERROR(VLOOKUP(A160,'Capacity of production'!A:C,3,0),"")</f>
        <v/>
      </c>
    </row>
    <row r="161" spans="1:27" ht="15.75" thickBot="1">
      <c r="B161" s="54"/>
      <c r="C161" s="55"/>
      <c r="D161" s="56"/>
      <c r="E161" s="56"/>
      <c r="F161" s="55"/>
      <c r="G161" s="55"/>
      <c r="H161" s="55"/>
      <c r="I161" s="55"/>
      <c r="J161" s="55"/>
      <c r="K161" s="55"/>
      <c r="L161" s="55"/>
      <c r="V161" t="s">
        <v>603</v>
      </c>
      <c r="W161" s="135" t="s">
        <v>604</v>
      </c>
      <c r="AA161" t="str">
        <f>IFERROR(VLOOKUP(A161,'Capacity of production'!A:C,3,0),"")</f>
        <v/>
      </c>
    </row>
    <row r="162" spans="1:27" ht="16.5" thickBot="1">
      <c r="A162" t="str">
        <f>B162</f>
        <v>RE080F</v>
      </c>
      <c r="B162" s="20" t="s">
        <v>214</v>
      </c>
      <c r="C162" s="288" t="str">
        <f>VLOOKUP(A162,'All products'!A:B,2,0)</f>
        <v>TECNOPOX-FL (A+B 5KG)</v>
      </c>
      <c r="D162" s="288"/>
      <c r="E162" s="288"/>
      <c r="F162" s="289"/>
      <c r="G162" s="21">
        <v>1</v>
      </c>
      <c r="H162" s="21" t="str">
        <f>VLOOKUP(B162,'Full Item list'!A:B,2,0)</f>
        <v>RE080F</v>
      </c>
      <c r="I162" s="21">
        <f>VLOOKUP(H162,'Full Item list'!B:J,9,0)</f>
        <v>5</v>
      </c>
      <c r="J162" s="21"/>
      <c r="K162" s="21" t="str">
        <f>VLOOKUP(H162,'Full Item list'!B:O,14,0)</f>
        <v>PCS</v>
      </c>
      <c r="L162" s="21"/>
      <c r="M162">
        <f t="shared" si="21"/>
        <v>0</v>
      </c>
      <c r="N162" t="e">
        <f>VLOOKUP(B162,#REF!,9,0)</f>
        <v>#REF!</v>
      </c>
      <c r="P162">
        <v>5</v>
      </c>
      <c r="R162">
        <f ca="1">OFFSET(F162,MATCH("Total Cost:",E162:E212,0)-1,0,1,1)/G162</f>
        <v>61.60118669927175</v>
      </c>
      <c r="U162" t="str">
        <f>VLOOKUP(H162,'Full Item list'!B:D,3,0)</f>
        <v>Product</v>
      </c>
      <c r="V162" t="s">
        <v>603</v>
      </c>
      <c r="W162" s="135" t="s">
        <v>604</v>
      </c>
      <c r="X162" t="s">
        <v>606</v>
      </c>
      <c r="AA162">
        <f>IFERROR(VLOOKUP(A162,'Capacity of production'!A:C,3,0),"")</f>
        <v>60</v>
      </c>
    </row>
    <row r="163" spans="1:27" ht="15" thickBot="1">
      <c r="B163" s="23" t="s">
        <v>319</v>
      </c>
      <c r="C163" s="24" t="s">
        <v>320</v>
      </c>
      <c r="D163" s="25" t="s">
        <v>321</v>
      </c>
      <c r="E163" s="25" t="s">
        <v>322</v>
      </c>
      <c r="F163" s="26" t="s">
        <v>323</v>
      </c>
      <c r="G163" s="27"/>
      <c r="H163" s="27"/>
      <c r="I163" s="27"/>
      <c r="J163" s="27"/>
      <c r="K163" s="27"/>
      <c r="L163" s="27"/>
      <c r="V163" t="s">
        <v>603</v>
      </c>
      <c r="W163" s="135" t="s">
        <v>604</v>
      </c>
      <c r="AA163" t="str">
        <f>IFERROR(VLOOKUP(A163,'Capacity of production'!A:C,3,0),"")</f>
        <v/>
      </c>
    </row>
    <row r="164" spans="1:27" ht="15.75" thickBot="1">
      <c r="B164" s="41" t="s">
        <v>324</v>
      </c>
      <c r="C164" s="42" t="s">
        <v>221</v>
      </c>
      <c r="D164" s="43">
        <v>3.35</v>
      </c>
      <c r="E164" s="31">
        <f>O164*D164</f>
        <v>12.462000000000002</v>
      </c>
      <c r="F164" s="45"/>
      <c r="G164" s="32"/>
      <c r="H164" s="32" t="str">
        <f>VLOOKUP(B164,'Full Item list'!A:B,2,0)</f>
        <v>RE-290</v>
      </c>
      <c r="I164" s="32"/>
      <c r="J164" s="32" t="str">
        <f t="shared" ref="J164:J166" si="25">K164</f>
        <v>KG</v>
      </c>
      <c r="K164" s="32" t="str">
        <f>VLOOKUP(H164,'Full Item list'!B:O,14,0)</f>
        <v>KG</v>
      </c>
      <c r="L164" s="32"/>
      <c r="M164">
        <f t="shared" si="21"/>
        <v>1.6909090909090908E-2</v>
      </c>
      <c r="N164" t="e">
        <f>VLOOKUP(B164,#REF!,9,0)</f>
        <v>#REF!</v>
      </c>
      <c r="O164">
        <f>IFERROR(IF(J164="KG",VLOOKUP(H164,'Cost Price New'!D:E,2,0),VLOOKUP('BOMs setting'!H164,'Cost Price New'!D:I,6,0)),VLOOKUP(H164,A:R,18,0))</f>
        <v>3.72</v>
      </c>
      <c r="P164">
        <v>220</v>
      </c>
      <c r="Q164">
        <v>1</v>
      </c>
      <c r="V164" t="s">
        <v>603</v>
      </c>
      <c r="W164" s="135" t="s">
        <v>604</v>
      </c>
      <c r="AA164" t="str">
        <f>IFERROR(VLOOKUP(A164,'Capacity of production'!A:C,3,0),"")</f>
        <v/>
      </c>
    </row>
    <row r="165" spans="1:27" ht="15.75" thickBot="1">
      <c r="B165" s="41" t="s">
        <v>335</v>
      </c>
      <c r="C165" s="42" t="s">
        <v>103</v>
      </c>
      <c r="D165" s="43">
        <v>1.65</v>
      </c>
      <c r="E165" s="31">
        <f>O165*D165</f>
        <v>8.2170000000000005</v>
      </c>
      <c r="F165" s="45"/>
      <c r="G165" s="32"/>
      <c r="H165" s="32" t="str">
        <f>VLOOKUP(B165,'Full Item list'!A:B,2,0)</f>
        <v>CT-670</v>
      </c>
      <c r="I165" s="32"/>
      <c r="J165" s="32" t="str">
        <f t="shared" si="25"/>
        <v>KG</v>
      </c>
      <c r="K165" s="32" t="str">
        <f>VLOOKUP(H165,'Full Item list'!B:O,14,0)</f>
        <v>KG</v>
      </c>
      <c r="L165" s="32"/>
      <c r="M165">
        <f t="shared" si="21"/>
        <v>2.3714285714285716E-2</v>
      </c>
      <c r="N165" t="e">
        <f>VLOOKUP(B165,#REF!,9,0)</f>
        <v>#REF!</v>
      </c>
      <c r="O165">
        <f>IFERROR(IF(J165="KG",VLOOKUP(H165,'Cost Price New'!D:E,2,0),VLOOKUP('BOMs setting'!H165,'Cost Price New'!D:I,6,0)),VLOOKUP(H165,A:R,18,0))</f>
        <v>4.9800000000000004</v>
      </c>
      <c r="P165">
        <v>210</v>
      </c>
      <c r="Q165">
        <v>1</v>
      </c>
      <c r="V165" t="s">
        <v>603</v>
      </c>
      <c r="W165" s="135" t="s">
        <v>604</v>
      </c>
      <c r="AA165" t="str">
        <f>IFERROR(VLOOKUP(A165,'Capacity of production'!A:C,3,0),"")</f>
        <v/>
      </c>
    </row>
    <row r="166" spans="1:27" ht="15.75" thickBot="1">
      <c r="B166" s="41" t="s">
        <v>311</v>
      </c>
      <c r="C166" s="42" t="s">
        <v>313</v>
      </c>
      <c r="D166" s="284">
        <f>I162/AA162</f>
        <v>8.3333333333333329E-2</v>
      </c>
      <c r="E166" s="31">
        <f>O166*D166</f>
        <v>40.922186699271748</v>
      </c>
      <c r="F166" s="45" t="s">
        <v>782</v>
      </c>
      <c r="G166" s="32"/>
      <c r="H166" s="32" t="str">
        <f>VLOOKUP(B166,'Full Item list'!A:B,2,0)</f>
        <v>LAB/OH-Resin</v>
      </c>
      <c r="I166" s="32"/>
      <c r="J166" s="32" t="str">
        <f t="shared" si="25"/>
        <v>H</v>
      </c>
      <c r="K166" s="32" t="str">
        <f>VLOOKUP(H166,'Full Item list'!B:O,14,0)</f>
        <v>H</v>
      </c>
      <c r="L166" s="32"/>
      <c r="O166">
        <f>IFERROR(IF(J166="KG",VLOOKUP(H166,'Cost Price New'!D:E,2,0),VLOOKUP('BOMs setting'!H166,'Cost Price New'!D:I,6,0)),VLOOKUP(H166,A:R,18,0))</f>
        <v>491.06624039126103</v>
      </c>
      <c r="V166" t="s">
        <v>603</v>
      </c>
      <c r="W166" s="135" t="s">
        <v>604</v>
      </c>
      <c r="AA166" t="str">
        <f>IFERROR(VLOOKUP(A166,'Capacity of production'!A:C,3,0),"")</f>
        <v/>
      </c>
    </row>
    <row r="167" spans="1:27" ht="15">
      <c r="B167" s="54"/>
      <c r="C167" s="55"/>
      <c r="D167" s="56"/>
      <c r="E167" s="56" t="s">
        <v>466</v>
      </c>
      <c r="F167" s="56">
        <f>SUM(E164:E166)</f>
        <v>61.60118669927175</v>
      </c>
      <c r="G167" s="55"/>
      <c r="H167" s="55"/>
      <c r="I167" s="55"/>
      <c r="J167" s="55"/>
      <c r="K167" s="55"/>
      <c r="L167" s="55"/>
      <c r="V167" t="s">
        <v>603</v>
      </c>
      <c r="W167" s="135" t="s">
        <v>604</v>
      </c>
      <c r="AA167" t="str">
        <f>IFERROR(VLOOKUP(A167,'Capacity of production'!A:C,3,0),"")</f>
        <v/>
      </c>
    </row>
    <row r="168" spans="1:27" ht="15.75" thickBot="1">
      <c r="B168" s="54"/>
      <c r="C168" s="55"/>
      <c r="D168" s="56"/>
      <c r="E168" s="56"/>
      <c r="F168" s="55"/>
      <c r="G168" s="55"/>
      <c r="H168" s="55"/>
      <c r="I168" s="55"/>
      <c r="J168" s="55"/>
      <c r="K168" s="55"/>
      <c r="L168" s="55"/>
      <c r="V168" t="s">
        <v>603</v>
      </c>
      <c r="W168" s="135" t="s">
        <v>604</v>
      </c>
      <c r="AA168" t="str">
        <f>IFERROR(VLOOKUP(A168,'Capacity of production'!A:C,3,0),"")</f>
        <v/>
      </c>
    </row>
    <row r="169" spans="1:27" ht="16.5" thickBot="1">
      <c r="A169" s="103" t="s">
        <v>215</v>
      </c>
      <c r="B169" s="20" t="s">
        <v>215</v>
      </c>
      <c r="C169" s="288" t="str">
        <f>VLOOKUP(A169,'All products'!A:B,2,0)</f>
        <v>TECNOPOX-FL (A+B 10KG)</v>
      </c>
      <c r="D169" s="288"/>
      <c r="E169" s="288"/>
      <c r="F169" s="289"/>
      <c r="G169" s="21">
        <v>1</v>
      </c>
      <c r="H169" s="21" t="str">
        <f>VLOOKUP(B169,'Full Item list'!A:B,2,0)</f>
        <v>RE100F</v>
      </c>
      <c r="I169" s="21">
        <f>VLOOKUP(H169,'Full Item list'!B:J,9,0)</f>
        <v>10</v>
      </c>
      <c r="J169" s="21"/>
      <c r="K169" s="21" t="str">
        <f>VLOOKUP(H169,'Full Item list'!B:O,14,0)</f>
        <v>PCS</v>
      </c>
      <c r="L169" s="21"/>
      <c r="M169">
        <f t="shared" si="21"/>
        <v>0</v>
      </c>
      <c r="N169" t="e">
        <f>VLOOKUP(B169,#REF!,9,0)</f>
        <v>#REF!</v>
      </c>
      <c r="P169">
        <v>10</v>
      </c>
      <c r="R169">
        <f ca="1">OFFSET(F169,MATCH("Total Cost:",E169:E219,0)-1,0,1,1)/G169</f>
        <v>106.8334987188348</v>
      </c>
      <c r="U169" t="str">
        <f>VLOOKUP(H169,'Full Item list'!B:D,3,0)</f>
        <v>Product</v>
      </c>
      <c r="V169" t="s">
        <v>603</v>
      </c>
      <c r="W169" s="135" t="s">
        <v>604</v>
      </c>
      <c r="X169" t="s">
        <v>606</v>
      </c>
      <c r="AA169">
        <f>IFERROR(VLOOKUP(A169,'Capacity of production'!A:C,3,0),"")</f>
        <v>75</v>
      </c>
    </row>
    <row r="170" spans="1:27" ht="15" thickBot="1">
      <c r="B170" s="23" t="s">
        <v>319</v>
      </c>
      <c r="C170" s="24" t="s">
        <v>320</v>
      </c>
      <c r="D170" s="25" t="s">
        <v>321</v>
      </c>
      <c r="E170" s="25" t="s">
        <v>322</v>
      </c>
      <c r="F170" s="26" t="s">
        <v>323</v>
      </c>
      <c r="G170" s="27"/>
      <c r="H170" s="27"/>
      <c r="I170" s="27"/>
      <c r="J170" s="27"/>
      <c r="K170" s="27"/>
      <c r="L170" s="27"/>
      <c r="V170" t="s">
        <v>603</v>
      </c>
      <c r="W170" s="135" t="s">
        <v>604</v>
      </c>
      <c r="AA170" t="str">
        <f>IFERROR(VLOOKUP(A170,'Capacity of production'!A:C,3,0),"")</f>
        <v/>
      </c>
    </row>
    <row r="171" spans="1:27" ht="15.75" thickBot="1">
      <c r="B171" s="41" t="s">
        <v>324</v>
      </c>
      <c r="C171" s="42" t="s">
        <v>221</v>
      </c>
      <c r="D171" s="43">
        <v>6.7</v>
      </c>
      <c r="E171" s="31">
        <f>O171*D171</f>
        <v>24.924000000000003</v>
      </c>
      <c r="F171" s="45"/>
      <c r="G171" s="32"/>
      <c r="H171" s="32" t="str">
        <f>VLOOKUP(B171,'Full Item list'!A:B,2,0)</f>
        <v>RE-290</v>
      </c>
      <c r="I171" s="32"/>
      <c r="J171" s="32" t="str">
        <f t="shared" ref="J171:J173" si="26">K171</f>
        <v>KG</v>
      </c>
      <c r="K171" s="32" t="str">
        <f>VLOOKUP(H171,'Full Item list'!B:O,14,0)</f>
        <v>KG</v>
      </c>
      <c r="L171" s="32"/>
      <c r="M171">
        <f t="shared" si="21"/>
        <v>1.6909090909090908E-2</v>
      </c>
      <c r="N171" t="e">
        <f>VLOOKUP(B171,#REF!,9,0)</f>
        <v>#REF!</v>
      </c>
      <c r="O171">
        <f>IFERROR(IF(J171="KG",VLOOKUP(H171,'Cost Price New'!D:E,2,0),VLOOKUP('BOMs setting'!H171,'Cost Price New'!D:I,6,0)),VLOOKUP(H171,A:R,18,0))</f>
        <v>3.72</v>
      </c>
      <c r="P171">
        <v>220</v>
      </c>
      <c r="Q171">
        <v>1</v>
      </c>
      <c r="V171" t="s">
        <v>603</v>
      </c>
      <c r="W171" s="135" t="s">
        <v>604</v>
      </c>
      <c r="AA171" t="str">
        <f>IFERROR(VLOOKUP(A171,'Capacity of production'!A:C,3,0),"")</f>
        <v/>
      </c>
    </row>
    <row r="172" spans="1:27" ht="15.75" thickBot="1">
      <c r="B172" s="41" t="s">
        <v>335</v>
      </c>
      <c r="C172" s="42" t="s">
        <v>103</v>
      </c>
      <c r="D172" s="43">
        <v>3.3</v>
      </c>
      <c r="E172" s="31">
        <f>O172*D172</f>
        <v>16.434000000000001</v>
      </c>
      <c r="F172" s="45"/>
      <c r="G172" s="32"/>
      <c r="H172" s="32" t="str">
        <f>VLOOKUP(B172,'Full Item list'!A:B,2,0)</f>
        <v>CT-670</v>
      </c>
      <c r="I172" s="32"/>
      <c r="J172" s="32" t="str">
        <f t="shared" si="26"/>
        <v>KG</v>
      </c>
      <c r="K172" s="32" t="str">
        <f>VLOOKUP(H172,'Full Item list'!B:O,14,0)</f>
        <v>KG</v>
      </c>
      <c r="L172" s="32"/>
      <c r="M172">
        <f t="shared" si="21"/>
        <v>2.3714285714285716E-2</v>
      </c>
      <c r="N172" t="e">
        <f>VLOOKUP(B172,#REF!,9,0)</f>
        <v>#REF!</v>
      </c>
      <c r="O172">
        <f>IFERROR(IF(J172="KG",VLOOKUP(H172,'Cost Price New'!D:E,2,0),VLOOKUP('BOMs setting'!H172,'Cost Price New'!D:I,6,0)),VLOOKUP(H172,A:R,18,0))</f>
        <v>4.9800000000000004</v>
      </c>
      <c r="P172">
        <v>210</v>
      </c>
      <c r="Q172">
        <v>1</v>
      </c>
      <c r="V172" t="s">
        <v>603</v>
      </c>
      <c r="W172" s="135" t="s">
        <v>604</v>
      </c>
      <c r="AA172" t="str">
        <f>IFERROR(VLOOKUP(A172,'Capacity of production'!A:C,3,0),"")</f>
        <v/>
      </c>
    </row>
    <row r="173" spans="1:27" ht="15.75" thickBot="1">
      <c r="B173" s="41" t="s">
        <v>311</v>
      </c>
      <c r="C173" s="42" t="s">
        <v>313</v>
      </c>
      <c r="D173" s="284">
        <f>I169/AA169</f>
        <v>0.13333333333333333</v>
      </c>
      <c r="E173" s="31">
        <f>O173*D173</f>
        <v>65.4754987188348</v>
      </c>
      <c r="F173" s="45" t="s">
        <v>782</v>
      </c>
      <c r="G173" s="32"/>
      <c r="H173" s="32" t="str">
        <f>VLOOKUP(B173,'Full Item list'!A:B,2,0)</f>
        <v>LAB/OH-Resin</v>
      </c>
      <c r="I173" s="32"/>
      <c r="J173" s="32" t="str">
        <f t="shared" si="26"/>
        <v>H</v>
      </c>
      <c r="K173" s="32" t="str">
        <f>VLOOKUP(H173,'Full Item list'!B:O,14,0)</f>
        <v>H</v>
      </c>
      <c r="L173" s="32"/>
      <c r="O173">
        <f>IFERROR(IF(J173="KG",VLOOKUP(H173,'Cost Price New'!D:E,2,0),VLOOKUP('BOMs setting'!H173,'Cost Price New'!D:I,6,0)),VLOOKUP(H173,A:R,18,0))</f>
        <v>491.06624039126103</v>
      </c>
      <c r="V173" t="s">
        <v>603</v>
      </c>
      <c r="W173" s="135" t="s">
        <v>604</v>
      </c>
      <c r="AA173" t="str">
        <f>IFERROR(VLOOKUP(A173,'Capacity of production'!A:C,3,0),"")</f>
        <v/>
      </c>
    </row>
    <row r="174" spans="1:27" ht="15">
      <c r="B174" s="54"/>
      <c r="C174" s="55"/>
      <c r="D174" s="56"/>
      <c r="E174" s="56" t="s">
        <v>466</v>
      </c>
      <c r="F174" s="56">
        <f>SUM(E171:E173)</f>
        <v>106.8334987188348</v>
      </c>
      <c r="G174" s="55"/>
      <c r="H174" s="55"/>
      <c r="I174" s="55"/>
      <c r="J174" s="55"/>
      <c r="K174" s="55"/>
      <c r="L174" s="55"/>
      <c r="V174" t="s">
        <v>603</v>
      </c>
      <c r="W174" s="135" t="s">
        <v>604</v>
      </c>
      <c r="AA174" t="str">
        <f>IFERROR(VLOOKUP(A174,'Capacity of production'!A:C,3,0),"")</f>
        <v/>
      </c>
    </row>
    <row r="175" spans="1:27" ht="15.75" thickBot="1">
      <c r="B175" s="54"/>
      <c r="C175" s="55"/>
      <c r="D175" s="56"/>
      <c r="E175" s="56"/>
      <c r="F175" s="55"/>
      <c r="G175" s="55"/>
      <c r="H175" s="55"/>
      <c r="I175" s="55"/>
      <c r="J175" s="55"/>
      <c r="K175" s="55"/>
      <c r="L175" s="55"/>
      <c r="V175" t="s">
        <v>603</v>
      </c>
      <c r="W175" s="135" t="s">
        <v>604</v>
      </c>
      <c r="AA175" t="str">
        <f>IFERROR(VLOOKUP(A175,'Capacity of production'!A:C,3,0),"")</f>
        <v/>
      </c>
    </row>
    <row r="176" spans="1:27" ht="16.5" thickBot="1">
      <c r="A176" t="str">
        <f>B176</f>
        <v>RE260F</v>
      </c>
      <c r="B176" s="20" t="s">
        <v>219</v>
      </c>
      <c r="C176" s="288" t="str">
        <f>VLOOKUP(A176,'All products'!A:B,2,0)</f>
        <v>TECNOPROT-EPOX (A+B 5KG)</v>
      </c>
      <c r="D176" s="288"/>
      <c r="E176" s="288"/>
      <c r="F176" s="289"/>
      <c r="G176" s="21">
        <v>1</v>
      </c>
      <c r="H176" s="21" t="str">
        <f>VLOOKUP(B176,'Full Item list'!A:B,2,0)</f>
        <v>RE260F</v>
      </c>
      <c r="I176" s="21">
        <f>VLOOKUP(H176,'Full Item list'!B:J,9,0)</f>
        <v>5</v>
      </c>
      <c r="J176" s="21"/>
      <c r="K176" s="21" t="str">
        <f>VLOOKUP(H176,'Full Item list'!B:O,14,0)</f>
        <v>PCS</v>
      </c>
      <c r="L176" s="21"/>
      <c r="M176">
        <f t="shared" si="21"/>
        <v>0</v>
      </c>
      <c r="N176" t="e">
        <f>VLOOKUP(B176,#REF!,9,0)</f>
        <v>#REF!</v>
      </c>
      <c r="P176">
        <v>5</v>
      </c>
      <c r="R176">
        <f ca="1">OFFSET(F176,MATCH("Total Cost:",E176:E226,0)-1,0,1,1)/G176</f>
        <v>104.31417974098569</v>
      </c>
      <c r="U176" t="str">
        <f>VLOOKUP(H176,'Full Item list'!B:D,3,0)</f>
        <v>Product</v>
      </c>
      <c r="V176" t="s">
        <v>603</v>
      </c>
      <c r="W176" s="135" t="s">
        <v>604</v>
      </c>
      <c r="X176" t="s">
        <v>606</v>
      </c>
      <c r="AA176">
        <f>IFERROR(VLOOKUP(A176,'Capacity of production'!A:C,3,0),"")</f>
        <v>25</v>
      </c>
    </row>
    <row r="177" spans="2:27" ht="15" thickBot="1">
      <c r="B177" s="23" t="s">
        <v>319</v>
      </c>
      <c r="C177" s="24" t="s">
        <v>320</v>
      </c>
      <c r="D177" s="25" t="s">
        <v>321</v>
      </c>
      <c r="E177" s="25" t="s">
        <v>322</v>
      </c>
      <c r="F177" s="26" t="s">
        <v>323</v>
      </c>
      <c r="G177" s="27"/>
      <c r="H177" s="27"/>
      <c r="I177" s="27"/>
      <c r="J177" s="27"/>
      <c r="K177" s="27"/>
      <c r="L177" s="27"/>
      <c r="V177" t="s">
        <v>603</v>
      </c>
      <c r="W177" s="135" t="s">
        <v>604</v>
      </c>
      <c r="AA177" t="str">
        <f>IFERROR(VLOOKUP(A177,'Capacity of production'!A:C,3,0),"")</f>
        <v/>
      </c>
    </row>
    <row r="178" spans="2:27" ht="15.75" thickBot="1">
      <c r="B178" s="28" t="s">
        <v>324</v>
      </c>
      <c r="C178" s="47" t="s">
        <v>221</v>
      </c>
      <c r="D178" s="48">
        <v>0.3199872005119796</v>
      </c>
      <c r="E178" s="31">
        <f t="shared" ref="E178:E198" si="27">O178*D178</f>
        <v>1.1903523859045642</v>
      </c>
      <c r="F178" s="297"/>
      <c r="G178" s="32"/>
      <c r="H178" s="32" t="str">
        <f>VLOOKUP(B178,'Full Item list'!A:B,2,0)</f>
        <v>RE-290</v>
      </c>
      <c r="I178" s="32"/>
      <c r="J178" s="32" t="str">
        <f t="shared" ref="J178:J198" si="28">K178</f>
        <v>KG</v>
      </c>
      <c r="K178" s="32" t="str">
        <f>VLOOKUP(H178,'Full Item list'!B:O,14,0)</f>
        <v>KG</v>
      </c>
      <c r="L178" s="32"/>
      <c r="M178">
        <f t="shared" si="21"/>
        <v>1.6909090909090908E-2</v>
      </c>
      <c r="N178" t="e">
        <f>VLOOKUP(B178,#REF!,9,0)</f>
        <v>#REF!</v>
      </c>
      <c r="O178">
        <f>IFERROR(IF(J178="KG",VLOOKUP(H178,'Cost Price New'!D:E,2,0),VLOOKUP('BOMs setting'!H178,'Cost Price New'!D:I,6,0)),VLOOKUP(H178,A:R,18,0))</f>
        <v>3.72</v>
      </c>
      <c r="P178">
        <v>220</v>
      </c>
      <c r="Q178">
        <v>1</v>
      </c>
      <c r="V178" t="s">
        <v>603</v>
      </c>
      <c r="W178" s="135" t="s">
        <v>604</v>
      </c>
      <c r="AA178" t="str">
        <f>IFERROR(VLOOKUP(A178,'Capacity of production'!A:C,3,0),"")</f>
        <v/>
      </c>
    </row>
    <row r="179" spans="2:27" ht="15.75" thickBot="1">
      <c r="B179" s="33" t="s">
        <v>325</v>
      </c>
      <c r="C179" s="49" t="s">
        <v>223</v>
      </c>
      <c r="D179" s="50">
        <v>0.47998080076796928</v>
      </c>
      <c r="E179" s="31">
        <f t="shared" si="27"/>
        <v>1.2719491220351185</v>
      </c>
      <c r="F179" s="298"/>
      <c r="G179" s="36"/>
      <c r="H179" s="36" t="str">
        <f>VLOOKUP(B179,'Full Item list'!A:B,2,0)</f>
        <v>RE-300</v>
      </c>
      <c r="I179" s="36"/>
      <c r="J179" s="32" t="str">
        <f t="shared" si="28"/>
        <v>KG</v>
      </c>
      <c r="K179" s="36" t="str">
        <f>VLOOKUP(H179,'Full Item list'!B:O,14,0)</f>
        <v>KG</v>
      </c>
      <c r="L179" s="36"/>
      <c r="M179">
        <f t="shared" si="21"/>
        <v>1.2045454545454545E-2</v>
      </c>
      <c r="N179" t="e">
        <f>VLOOKUP(B179,#REF!,9,0)</f>
        <v>#REF!</v>
      </c>
      <c r="O179">
        <f>IFERROR(IF(J179="KG",VLOOKUP(H179,'Cost Price New'!D:E,2,0),VLOOKUP('BOMs setting'!H179,'Cost Price New'!D:I,6,0)),VLOOKUP(H179,A:R,18,0))</f>
        <v>2.65</v>
      </c>
      <c r="P179">
        <v>220</v>
      </c>
      <c r="Q179">
        <v>1</v>
      </c>
      <c r="V179" t="s">
        <v>603</v>
      </c>
      <c r="W179" s="135" t="s">
        <v>604</v>
      </c>
      <c r="AA179" t="str">
        <f>IFERROR(VLOOKUP(A179,'Capacity of production'!A:C,3,0),"")</f>
        <v/>
      </c>
    </row>
    <row r="180" spans="2:27" ht="15.75" thickBot="1">
      <c r="B180" s="33" t="s">
        <v>326</v>
      </c>
      <c r="C180" s="49" t="s">
        <v>238</v>
      </c>
      <c r="D180" s="50">
        <v>5.5997760089596419E-3</v>
      </c>
      <c r="E180" s="31">
        <f t="shared" si="27"/>
        <v>3.3934642614295428E-2</v>
      </c>
      <c r="F180" s="298"/>
      <c r="G180" s="36"/>
      <c r="H180" s="36" t="str">
        <f>VLOOKUP(B180,'Full Item list'!A:B,2,0)</f>
        <v>SF-160</v>
      </c>
      <c r="I180" s="36"/>
      <c r="J180" s="32" t="str">
        <f t="shared" si="28"/>
        <v>KG</v>
      </c>
      <c r="K180" s="36" t="str">
        <f>VLOOKUP(H180,'Full Item list'!B:O,14,0)</f>
        <v>KG</v>
      </c>
      <c r="L180" s="36"/>
      <c r="M180">
        <f t="shared" si="21"/>
        <v>0.24239999999999998</v>
      </c>
      <c r="N180" t="e">
        <f>VLOOKUP(B180,#REF!,9,0)</f>
        <v>#REF!</v>
      </c>
      <c r="O180">
        <f>IFERROR(IF(J180="KG",VLOOKUP(H180,'Cost Price New'!D:E,2,0),VLOOKUP('BOMs setting'!H180,'Cost Price New'!D:I,6,0)),VLOOKUP(H180,A:R,18,0))</f>
        <v>6.06</v>
      </c>
      <c r="P180">
        <v>25</v>
      </c>
      <c r="Q180">
        <v>1</v>
      </c>
      <c r="V180" t="s">
        <v>603</v>
      </c>
      <c r="W180" s="135" t="s">
        <v>604</v>
      </c>
      <c r="AA180" t="str">
        <f>IFERROR(VLOOKUP(A180,'Capacity of production'!A:C,3,0),"")</f>
        <v/>
      </c>
    </row>
    <row r="181" spans="2:27" ht="15.75" thickBot="1">
      <c r="B181" s="33" t="s">
        <v>327</v>
      </c>
      <c r="C181" s="49" t="s">
        <v>65</v>
      </c>
      <c r="D181" s="50">
        <v>1.5999360025598978E-3</v>
      </c>
      <c r="E181" s="31">
        <f t="shared" si="27"/>
        <v>1.4911403543858247E-2</v>
      </c>
      <c r="F181" s="298"/>
      <c r="G181" s="36"/>
      <c r="H181" s="36" t="str">
        <f>VLOOKUP(B181,'Full Item list'!A:B,2,0)</f>
        <v>AD-320</v>
      </c>
      <c r="I181" s="36"/>
      <c r="J181" s="32" t="str">
        <f t="shared" si="28"/>
        <v>KG</v>
      </c>
      <c r="K181" s="36" t="str">
        <f>VLOOKUP(H181,'Full Item list'!B:O,14,0)</f>
        <v>KG</v>
      </c>
      <c r="L181" s="36"/>
      <c r="M181">
        <f t="shared" si="21"/>
        <v>0.37280000000000002</v>
      </c>
      <c r="N181" t="e">
        <f>VLOOKUP(B181,#REF!,9,0)</f>
        <v>#REF!</v>
      </c>
      <c r="O181">
        <f>IFERROR(IF(J181="KG",VLOOKUP(H181,'Cost Price New'!D:E,2,0),VLOOKUP('BOMs setting'!H181,'Cost Price New'!D:I,6,0)),VLOOKUP(H181,A:R,18,0))</f>
        <v>9.32</v>
      </c>
      <c r="P181">
        <v>25</v>
      </c>
      <c r="Q181">
        <v>1</v>
      </c>
      <c r="V181" t="s">
        <v>603</v>
      </c>
      <c r="W181" s="135" t="s">
        <v>604</v>
      </c>
      <c r="AA181" t="str">
        <f>IFERROR(VLOOKUP(A181,'Capacity of production'!A:C,3,0),"")</f>
        <v/>
      </c>
    </row>
    <row r="182" spans="2:27" ht="15.75" thickBot="1">
      <c r="B182" s="33" t="s">
        <v>328</v>
      </c>
      <c r="C182" s="49" t="s">
        <v>235</v>
      </c>
      <c r="D182" s="50">
        <v>5.5997760089596419E-3</v>
      </c>
      <c r="E182" s="31">
        <f t="shared" si="27"/>
        <v>4.5246190152393909E-2</v>
      </c>
      <c r="F182" s="298"/>
      <c r="G182" s="36"/>
      <c r="H182" s="36" t="str">
        <f>VLOOKUP(B182,'Full Item list'!A:B,2,0)</f>
        <v>SF-150</v>
      </c>
      <c r="I182" s="36"/>
      <c r="J182" s="32" t="str">
        <f t="shared" si="28"/>
        <v>KG</v>
      </c>
      <c r="K182" s="36" t="str">
        <f>VLOOKUP(H182,'Full Item list'!B:O,14,0)</f>
        <v>KG</v>
      </c>
      <c r="L182" s="36"/>
      <c r="M182">
        <f t="shared" si="21"/>
        <v>0.32319999999999999</v>
      </c>
      <c r="N182" t="e">
        <f>VLOOKUP(B182,#REF!,9,0)</f>
        <v>#REF!</v>
      </c>
      <c r="O182">
        <f>IFERROR(IF(J182="KG",VLOOKUP(H182,'Cost Price New'!D:E,2,0),VLOOKUP('BOMs setting'!H182,'Cost Price New'!D:I,6,0)),VLOOKUP(H182,A:R,18,0))</f>
        <v>8.08</v>
      </c>
      <c r="P182">
        <v>25</v>
      </c>
      <c r="Q182">
        <v>1</v>
      </c>
      <c r="V182" t="s">
        <v>603</v>
      </c>
      <c r="W182" s="135" t="s">
        <v>604</v>
      </c>
      <c r="AA182" t="str">
        <f>IFERROR(VLOOKUP(A182,'Capacity of production'!A:C,3,0),"")</f>
        <v/>
      </c>
    </row>
    <row r="183" spans="2:27" ht="15.75" thickBot="1">
      <c r="B183" s="33" t="s">
        <v>329</v>
      </c>
      <c r="C183" s="49" t="s">
        <v>194</v>
      </c>
      <c r="D183" s="50">
        <v>9.919603215871365E-3</v>
      </c>
      <c r="E183" s="31">
        <f t="shared" si="27"/>
        <v>2.90644374225031E-2</v>
      </c>
      <c r="F183" s="298"/>
      <c r="G183" s="36"/>
      <c r="H183" s="36" t="str">
        <f>VLOOKUP(B183,'Full Item list'!A:B,2,0)</f>
        <v>PG-470</v>
      </c>
      <c r="I183" s="36"/>
      <c r="J183" s="32" t="str">
        <f t="shared" si="28"/>
        <v>KG</v>
      </c>
      <c r="K183" s="36" t="str">
        <f>VLOOKUP(H183,'Full Item list'!B:O,14,0)</f>
        <v>KG</v>
      </c>
      <c r="L183" s="36"/>
      <c r="M183">
        <f t="shared" si="21"/>
        <v>0.11720000000000001</v>
      </c>
      <c r="N183" t="e">
        <f>VLOOKUP(B183,#REF!,9,0)</f>
        <v>#REF!</v>
      </c>
      <c r="O183">
        <f>IFERROR(IF(J183="KG",VLOOKUP(H183,'Cost Price New'!D:E,2,0),VLOOKUP('BOMs setting'!H183,'Cost Price New'!D:I,6,0)),VLOOKUP(H183,A:R,18,0))</f>
        <v>2.93</v>
      </c>
      <c r="P183">
        <v>25</v>
      </c>
      <c r="Q183">
        <v>1</v>
      </c>
      <c r="V183" t="s">
        <v>603</v>
      </c>
      <c r="W183" s="135" t="s">
        <v>604</v>
      </c>
      <c r="AA183" t="str">
        <f>IFERROR(VLOOKUP(A183,'Capacity of production'!A:C,3,0),"")</f>
        <v/>
      </c>
    </row>
    <row r="184" spans="2:27" ht="15.75" thickBot="1">
      <c r="B184" s="33" t="s">
        <v>330</v>
      </c>
      <c r="C184" s="49" t="s">
        <v>192</v>
      </c>
      <c r="D184" s="50">
        <v>0.10207591696332147</v>
      </c>
      <c r="E184" s="31">
        <f t="shared" si="27"/>
        <v>0.64307827686892527</v>
      </c>
      <c r="F184" s="299"/>
      <c r="G184" s="37"/>
      <c r="H184" s="37" t="str">
        <f>VLOOKUP(B184,'Full Item list'!A:B,2,0)</f>
        <v>PG-461</v>
      </c>
      <c r="I184" s="37"/>
      <c r="J184" s="32" t="str">
        <f t="shared" si="28"/>
        <v>KG</v>
      </c>
      <c r="K184" s="37" t="str">
        <f>VLOOKUP(H184,'Full Item list'!B:O,14,0)</f>
        <v>KG</v>
      </c>
      <c r="L184" s="37"/>
      <c r="M184">
        <f t="shared" si="21"/>
        <v>0.252</v>
      </c>
      <c r="N184" t="e">
        <f>VLOOKUP(B184,#REF!,9,0)</f>
        <v>#REF!</v>
      </c>
      <c r="O184">
        <f>IFERROR(IF(J184="KG",VLOOKUP(H184,'Cost Price New'!D:E,2,0),VLOOKUP('BOMs setting'!H184,'Cost Price New'!D:I,6,0)),VLOOKUP(H184,A:R,18,0))</f>
        <v>6.3</v>
      </c>
      <c r="P184">
        <v>25</v>
      </c>
      <c r="Q184">
        <v>1</v>
      </c>
      <c r="V184" t="s">
        <v>603</v>
      </c>
      <c r="W184" s="135" t="s">
        <v>604</v>
      </c>
      <c r="AA184" t="str">
        <f>IFERROR(VLOOKUP(A184,'Capacity of production'!A:C,3,0),"")</f>
        <v/>
      </c>
    </row>
    <row r="185" spans="2:27" ht="15.75" thickBot="1">
      <c r="B185" s="33" t="s">
        <v>331</v>
      </c>
      <c r="C185" s="49" t="s">
        <v>332</v>
      </c>
      <c r="D185" s="50">
        <v>0.28478860845566178</v>
      </c>
      <c r="E185" s="31">
        <f t="shared" si="27"/>
        <v>2.6912523499060041E-2</v>
      </c>
      <c r="F185" s="299"/>
      <c r="G185" s="37"/>
      <c r="H185" s="37" t="str">
        <f>VLOOKUP(B185,'Full Item list'!A:B,2,0)</f>
        <v>TS-440</v>
      </c>
      <c r="I185" s="37"/>
      <c r="J185" s="32" t="str">
        <f t="shared" si="28"/>
        <v>KG</v>
      </c>
      <c r="K185" s="37" t="str">
        <f>VLOOKUP(H185,'Full Item list'!B:O,14,0)</f>
        <v>KG</v>
      </c>
      <c r="L185" s="37"/>
      <c r="M185">
        <f t="shared" si="21"/>
        <v>3.7799999999999999E-3</v>
      </c>
      <c r="N185" t="e">
        <f>VLOOKUP(B185,#REF!,9,0)</f>
        <v>#REF!</v>
      </c>
      <c r="O185">
        <f>IFERROR(IF(J185="KG",VLOOKUP(H185,'Cost Price New'!D:E,2,0),VLOOKUP('BOMs setting'!H185,'Cost Price New'!D:I,6,0)),VLOOKUP(H185,A:R,18,0))</f>
        <v>9.4500000000000001E-2</v>
      </c>
      <c r="P185">
        <v>25</v>
      </c>
      <c r="Q185">
        <v>1</v>
      </c>
      <c r="V185" t="s">
        <v>603</v>
      </c>
      <c r="W185" s="135" t="s">
        <v>604</v>
      </c>
      <c r="AA185" t="str">
        <f>IFERROR(VLOOKUP(A185,'Capacity of production'!A:C,3,0),"")</f>
        <v/>
      </c>
    </row>
    <row r="186" spans="2:27" ht="15.75" thickBot="1">
      <c r="B186" s="33" t="s">
        <v>333</v>
      </c>
      <c r="C186" s="49" t="s">
        <v>127</v>
      </c>
      <c r="D186" s="50">
        <v>0.35198592056317751</v>
      </c>
      <c r="E186" s="31">
        <f t="shared" si="27"/>
        <v>0.15909763609455624</v>
      </c>
      <c r="F186" s="299"/>
      <c r="G186" s="37"/>
      <c r="H186" s="37" t="str">
        <f>VLOOKUP(B186,'Full Item list'!A:B,2,0)</f>
        <v>FT-680</v>
      </c>
      <c r="I186" s="37"/>
      <c r="J186" s="32" t="str">
        <f t="shared" si="28"/>
        <v>KG</v>
      </c>
      <c r="K186" s="37" t="str">
        <f>VLOOKUP(H186,'Full Item list'!B:O,14,0)</f>
        <v>KG</v>
      </c>
      <c r="L186" s="37"/>
      <c r="M186">
        <f t="shared" si="21"/>
        <v>1.8079999999999999E-2</v>
      </c>
      <c r="N186" t="e">
        <f>VLOOKUP(B186,#REF!,9,0)</f>
        <v>#REF!</v>
      </c>
      <c r="O186">
        <f>IFERROR(IF(J186="KG",VLOOKUP(H186,'Cost Price New'!D:E,2,0),VLOOKUP('BOMs setting'!H186,'Cost Price New'!D:I,6,0)),VLOOKUP(H186,A:R,18,0))</f>
        <v>0.45200000000000001</v>
      </c>
      <c r="P186">
        <v>25</v>
      </c>
      <c r="Q186">
        <v>1</v>
      </c>
      <c r="V186" t="s">
        <v>603</v>
      </c>
      <c r="W186" s="135" t="s">
        <v>604</v>
      </c>
      <c r="AA186" t="str">
        <f>IFERROR(VLOOKUP(A186,'Capacity of production'!A:C,3,0),"")</f>
        <v/>
      </c>
    </row>
    <row r="187" spans="2:27" ht="15.75" thickBot="1">
      <c r="B187" s="33" t="s">
        <v>334</v>
      </c>
      <c r="C187" s="34" t="s">
        <v>129</v>
      </c>
      <c r="D187" s="59">
        <v>1.3599456021759132E-2</v>
      </c>
      <c r="E187" s="31">
        <f t="shared" si="27"/>
        <v>0.10933962641494341</v>
      </c>
      <c r="F187" s="299"/>
      <c r="G187" s="37"/>
      <c r="H187" s="37" t="str">
        <f>VLOOKUP(B187,'Full Item list'!A:B,2,0)</f>
        <v>FT-690</v>
      </c>
      <c r="I187" s="37"/>
      <c r="J187" s="32" t="str">
        <f t="shared" si="28"/>
        <v>KG</v>
      </c>
      <c r="K187" s="37" t="str">
        <f>VLOOKUP(H187,'Full Item list'!B:O,14,0)</f>
        <v>KG</v>
      </c>
      <c r="L187" s="37"/>
      <c r="M187">
        <f t="shared" si="21"/>
        <v>0.80399999999999994</v>
      </c>
      <c r="N187" t="e">
        <f>VLOOKUP(B187,#REF!,9,0)</f>
        <v>#REF!</v>
      </c>
      <c r="O187">
        <f>IFERROR(IF(J187="KG",VLOOKUP(H187,'Cost Price New'!D:E,2,0),VLOOKUP('BOMs setting'!H187,'Cost Price New'!D:I,6,0)),VLOOKUP(H187,A:R,18,0))</f>
        <v>8.0399999999999991</v>
      </c>
      <c r="P187">
        <v>10</v>
      </c>
      <c r="Q187">
        <v>1</v>
      </c>
      <c r="V187" t="s">
        <v>603</v>
      </c>
      <c r="W187" s="135" t="s">
        <v>604</v>
      </c>
      <c r="AA187" t="str">
        <f>IFERROR(VLOOKUP(A187,'Capacity of production'!A:C,3,0),"")</f>
        <v/>
      </c>
    </row>
    <row r="188" spans="2:27" ht="15.75" thickBot="1">
      <c r="B188" s="60" t="s">
        <v>187</v>
      </c>
      <c r="C188" s="61" t="s">
        <v>188</v>
      </c>
      <c r="D188" s="52">
        <v>2.3999040038398464E-2</v>
      </c>
      <c r="E188" s="31">
        <f t="shared" si="27"/>
        <v>2.951881924723011E-2</v>
      </c>
      <c r="F188" s="300"/>
      <c r="G188" s="37"/>
      <c r="H188" s="37" t="str">
        <f>VLOOKUP(B188,'Full Item list'!A:B,2,0)</f>
        <v>ST-010</v>
      </c>
      <c r="I188" s="37"/>
      <c r="J188" s="32" t="str">
        <f t="shared" si="28"/>
        <v>KG</v>
      </c>
      <c r="K188" s="37" t="str">
        <f>VLOOKUP(H188,'Full Item list'!B:O,14,0)</f>
        <v>KG</v>
      </c>
      <c r="L188" s="37"/>
      <c r="M188">
        <f t="shared" si="21"/>
        <v>6.1500000000000001E-3</v>
      </c>
      <c r="N188" t="e">
        <f>VLOOKUP(B188,#REF!,9,0)</f>
        <v>#REF!</v>
      </c>
      <c r="O188">
        <f>IFERROR(IF(J188="KG",VLOOKUP(H188,'Cost Price New'!D:E,2,0),VLOOKUP('BOMs setting'!H188,'Cost Price New'!D:I,6,0)),VLOOKUP(H188,A:R,18,0))</f>
        <v>1.23</v>
      </c>
      <c r="P188">
        <v>200</v>
      </c>
      <c r="Q188">
        <v>1</v>
      </c>
      <c r="V188" t="s">
        <v>603</v>
      </c>
      <c r="W188" s="135" t="s">
        <v>604</v>
      </c>
      <c r="AA188" t="str">
        <f>IFERROR(VLOOKUP(A188,'Capacity of production'!A:C,3,0),"")</f>
        <v/>
      </c>
    </row>
    <row r="189" spans="2:27" ht="15.75" thickBot="1">
      <c r="B189" s="41" t="s">
        <v>335</v>
      </c>
      <c r="C189" s="42" t="s">
        <v>103</v>
      </c>
      <c r="D189" s="43">
        <v>0.39998400063997441</v>
      </c>
      <c r="E189" s="31">
        <f t="shared" si="27"/>
        <v>1.9919203231870728</v>
      </c>
      <c r="F189" s="45"/>
      <c r="G189" s="32"/>
      <c r="H189" s="32" t="str">
        <f>VLOOKUP(B189,'Full Item list'!A:B,2,0)</f>
        <v>CT-670</v>
      </c>
      <c r="I189" s="32"/>
      <c r="J189" s="32" t="str">
        <f t="shared" si="28"/>
        <v>KG</v>
      </c>
      <c r="K189" s="32" t="str">
        <f>VLOOKUP(H189,'Full Item list'!B:O,14,0)</f>
        <v>KG</v>
      </c>
      <c r="L189" s="32"/>
      <c r="M189">
        <f t="shared" si="21"/>
        <v>2.3714285714285716E-2</v>
      </c>
      <c r="N189" t="e">
        <f>VLOOKUP(B189,#REF!,9,0)</f>
        <v>#REF!</v>
      </c>
      <c r="O189">
        <f>IFERROR(IF(J189="KG",VLOOKUP(H189,'Cost Price New'!D:E,2,0),VLOOKUP('BOMs setting'!H189,'Cost Price New'!D:I,6,0)),VLOOKUP(H189,A:R,18,0))</f>
        <v>4.9800000000000004</v>
      </c>
      <c r="P189">
        <v>210</v>
      </c>
      <c r="Q189">
        <v>1</v>
      </c>
      <c r="V189" t="s">
        <v>603</v>
      </c>
      <c r="W189" s="135" t="s">
        <v>604</v>
      </c>
      <c r="AA189" t="str">
        <f>IFERROR(VLOOKUP(A189,'Capacity of production'!A:C,3,0),"")</f>
        <v/>
      </c>
    </row>
    <row r="190" spans="2:27" ht="15.75" thickBot="1">
      <c r="B190" s="62" t="s">
        <v>336</v>
      </c>
      <c r="C190" s="63" t="s">
        <v>115</v>
      </c>
      <c r="D190" s="48">
        <v>0.26298948042078318</v>
      </c>
      <c r="E190" s="31">
        <f t="shared" si="27"/>
        <v>1.5121895124195034E-2</v>
      </c>
      <c r="F190" s="297"/>
      <c r="G190" s="32"/>
      <c r="H190" s="32" t="str">
        <f>VLOOKUP(B190,'Full Item list'!A:B,2,0)</f>
        <v>FS-540</v>
      </c>
      <c r="I190" s="32"/>
      <c r="J190" s="32" t="str">
        <f t="shared" si="28"/>
        <v>KG</v>
      </c>
      <c r="K190" s="32" t="str">
        <f>VLOOKUP(H190,'Full Item list'!B:O,14,0)</f>
        <v>KG</v>
      </c>
      <c r="L190" s="32"/>
      <c r="M190" s="22" t="e">
        <f t="shared" si="21"/>
        <v>#DIV/0!</v>
      </c>
      <c r="N190" s="22" t="e">
        <f>VLOOKUP(B190,#REF!,9,0)</f>
        <v>#REF!</v>
      </c>
      <c r="O190">
        <f>IFERROR(IF(J190="KG",VLOOKUP(H190,'Cost Price New'!D:E,2,0),VLOOKUP('BOMs setting'!H190,'Cost Price New'!D:I,6,0)),VLOOKUP(H190,A:R,18,0))</f>
        <v>5.7500000000000002E-2</v>
      </c>
      <c r="P190" s="22"/>
      <c r="Q190">
        <v>1</v>
      </c>
      <c r="V190" t="s">
        <v>603</v>
      </c>
      <c r="W190" s="135" t="s">
        <v>604</v>
      </c>
      <c r="AA190" t="str">
        <f>IFERROR(VLOOKUP(A190,'Capacity of production'!A:C,3,0),"")</f>
        <v/>
      </c>
    </row>
    <row r="191" spans="2:27" ht="15.75" thickBot="1">
      <c r="B191" s="57" t="s">
        <v>338</v>
      </c>
      <c r="C191" s="58" t="s">
        <v>117</v>
      </c>
      <c r="D191" s="50">
        <v>0.13699452021919126</v>
      </c>
      <c r="E191" s="31">
        <f t="shared" si="27"/>
        <v>4.7948082076716943E-3</v>
      </c>
      <c r="F191" s="298"/>
      <c r="G191" s="36"/>
      <c r="H191" s="36" t="str">
        <f>VLOOKUP(B191,'Full Item list'!A:B,2,0)</f>
        <v>FS-550</v>
      </c>
      <c r="I191" s="36"/>
      <c r="J191" s="32" t="str">
        <f t="shared" si="28"/>
        <v>KG</v>
      </c>
      <c r="K191" s="36" t="str">
        <f>VLOOKUP(H191,'Full Item list'!B:O,14,0)</f>
        <v>KG</v>
      </c>
      <c r="L191" s="36"/>
      <c r="M191" s="22" t="e">
        <f t="shared" si="21"/>
        <v>#DIV/0!</v>
      </c>
      <c r="N191" s="22" t="e">
        <f>VLOOKUP(B191,#REF!,9,0)</f>
        <v>#REF!</v>
      </c>
      <c r="O191">
        <f>IFERROR(IF(J191="KG",VLOOKUP(H191,'Cost Price New'!D:E,2,0),VLOOKUP('BOMs setting'!H191,'Cost Price New'!D:I,6,0)),VLOOKUP(H191,A:R,18,0))</f>
        <v>3.5000000000000003E-2</v>
      </c>
      <c r="P191" s="22"/>
      <c r="Q191">
        <v>1</v>
      </c>
      <c r="V191" t="s">
        <v>602</v>
      </c>
      <c r="W191" s="135" t="s">
        <v>605</v>
      </c>
      <c r="AA191" t="str">
        <f>IFERROR(VLOOKUP(A191,'Capacity of production'!A:C,3,0),"")</f>
        <v/>
      </c>
    </row>
    <row r="192" spans="2:27" ht="15.75" thickBot="1">
      <c r="B192" s="57" t="s">
        <v>339</v>
      </c>
      <c r="C192" s="34" t="s">
        <v>340</v>
      </c>
      <c r="D192" s="50">
        <v>0.13699452021919126</v>
      </c>
      <c r="E192" s="31">
        <f t="shared" si="27"/>
        <v>4.7948082076716943E-3</v>
      </c>
      <c r="F192" s="298"/>
      <c r="G192" s="36"/>
      <c r="H192" s="36" t="str">
        <f>VLOOKUP(B192,'Full Item list'!A:B,2,0)</f>
        <v>FS-560</v>
      </c>
      <c r="I192" s="36"/>
      <c r="J192" s="32" t="str">
        <f t="shared" si="28"/>
        <v>KG</v>
      </c>
      <c r="K192" s="36" t="str">
        <f>VLOOKUP(H192,'Full Item list'!B:O,14,0)</f>
        <v>KG</v>
      </c>
      <c r="L192" s="36"/>
      <c r="M192" s="22" t="e">
        <f t="shared" si="21"/>
        <v>#DIV/0!</v>
      </c>
      <c r="N192" s="22" t="e">
        <f>VLOOKUP(B192,#REF!,9,0)</f>
        <v>#REF!</v>
      </c>
      <c r="O192">
        <f>IFERROR(IF(J192="KG",VLOOKUP(H192,'Cost Price New'!D:E,2,0),VLOOKUP('BOMs setting'!H192,'Cost Price New'!D:I,6,0)),VLOOKUP(H192,A:R,18,0))</f>
        <v>3.5000000000000003E-2</v>
      </c>
      <c r="P192" s="22"/>
      <c r="Q192">
        <v>1</v>
      </c>
      <c r="V192" t="s">
        <v>602</v>
      </c>
      <c r="W192" s="135" t="s">
        <v>605</v>
      </c>
      <c r="AA192" t="str">
        <f>IFERROR(VLOOKUP(A192,'Capacity of production'!A:C,3,0),"")</f>
        <v/>
      </c>
    </row>
    <row r="193" spans="1:27" ht="15.75" thickBot="1">
      <c r="B193" s="33" t="s">
        <v>341</v>
      </c>
      <c r="C193" s="34" t="s">
        <v>342</v>
      </c>
      <c r="D193" s="50">
        <v>1.8429262829486823</v>
      </c>
      <c r="E193" s="31">
        <f t="shared" si="27"/>
        <v>5.8973641054357838E-2</v>
      </c>
      <c r="F193" s="298"/>
      <c r="G193" s="36"/>
      <c r="H193" s="36" t="str">
        <f>VLOOKUP(B193,'Full Item list'!A:B,2,0)</f>
        <v>FS-570</v>
      </c>
      <c r="I193" s="36"/>
      <c r="J193" s="32" t="str">
        <f t="shared" si="28"/>
        <v>KG</v>
      </c>
      <c r="K193" s="36" t="str">
        <f>VLOOKUP(H193,'Full Item list'!B:O,14,0)</f>
        <v>KG</v>
      </c>
      <c r="L193" s="36"/>
      <c r="M193" s="22" t="e">
        <f t="shared" si="21"/>
        <v>#DIV/0!</v>
      </c>
      <c r="N193" s="22" t="e">
        <f>VLOOKUP(B193,#REF!,9,0)</f>
        <v>#REF!</v>
      </c>
      <c r="O193">
        <f>IFERROR(IF(J193="KG",VLOOKUP(H193,'Cost Price New'!D:E,2,0),VLOOKUP('BOMs setting'!H193,'Cost Price New'!D:I,6,0)),VLOOKUP(H193,A:R,18,0))</f>
        <v>3.2000000000000001E-2</v>
      </c>
      <c r="P193" s="22"/>
      <c r="Q193">
        <v>1</v>
      </c>
      <c r="V193" t="s">
        <v>602</v>
      </c>
      <c r="W193" s="135" t="s">
        <v>605</v>
      </c>
      <c r="AA193" t="str">
        <f>IFERROR(VLOOKUP(A193,'Capacity of production'!A:C,3,0),"")</f>
        <v/>
      </c>
    </row>
    <row r="194" spans="1:27" ht="15.75" thickBot="1">
      <c r="B194" s="64" t="s">
        <v>343</v>
      </c>
      <c r="C194" s="65" t="s">
        <v>101</v>
      </c>
      <c r="D194" s="50">
        <v>0.52697892084316622</v>
      </c>
      <c r="E194" s="31">
        <f t="shared" si="27"/>
        <v>5.2697892084316626E-2</v>
      </c>
      <c r="F194" s="298"/>
      <c r="G194" s="36"/>
      <c r="H194" s="36" t="str">
        <f>VLOOKUP(B194,'Full Item list'!A:B,2,0)</f>
        <v>CE-080</v>
      </c>
      <c r="I194" s="36"/>
      <c r="J194" s="32" t="str">
        <f t="shared" si="28"/>
        <v>KG</v>
      </c>
      <c r="K194" s="36" t="str">
        <f>VLOOKUP(H194,'Full Item list'!B:O,14,0)</f>
        <v>KG</v>
      </c>
      <c r="L194" s="36"/>
      <c r="M194" s="22" t="e">
        <f t="shared" si="21"/>
        <v>#DIV/0!</v>
      </c>
      <c r="N194" s="22" t="e">
        <f>VLOOKUP(B194,#REF!,9,0)</f>
        <v>#REF!</v>
      </c>
      <c r="O194">
        <f>IFERROR(IF(J194="KG",VLOOKUP(H194,'Cost Price New'!D:E,2,0),VLOOKUP('BOMs setting'!H194,'Cost Price New'!D:I,6,0)),VLOOKUP(H194,A:R,18,0))</f>
        <v>0.1</v>
      </c>
      <c r="P194" s="22"/>
      <c r="Q194">
        <v>1</v>
      </c>
      <c r="V194" t="s">
        <v>602</v>
      </c>
      <c r="W194" s="135" t="s">
        <v>605</v>
      </c>
      <c r="AA194" t="str">
        <f>IFERROR(VLOOKUP(A194,'Capacity of production'!A:C,3,0),"")</f>
        <v/>
      </c>
    </row>
    <row r="195" spans="1:27" ht="15.75" thickBot="1">
      <c r="B195" s="33" t="s">
        <v>302</v>
      </c>
      <c r="C195" s="49" t="s">
        <v>307</v>
      </c>
      <c r="D195" s="50">
        <v>5.2997880084796618E-2</v>
      </c>
      <c r="E195" s="31">
        <f t="shared" si="27"/>
        <v>0.24909003639854413</v>
      </c>
      <c r="F195" s="298"/>
      <c r="G195" s="36"/>
      <c r="H195" s="36" t="str">
        <f>VLOOKUP(B195,'Full Item list'!A:B,2,0)</f>
        <v>PM-630</v>
      </c>
      <c r="I195" s="36"/>
      <c r="J195" s="32" t="str">
        <f t="shared" si="28"/>
        <v>KG</v>
      </c>
      <c r="K195" s="36" t="str">
        <f>VLOOKUP(H195,'Full Item list'!B:O,14,0)</f>
        <v>KG</v>
      </c>
      <c r="L195" s="36"/>
      <c r="M195" s="22" t="e">
        <f t="shared" si="21"/>
        <v>#DIV/0!</v>
      </c>
      <c r="N195" s="22" t="e">
        <f>VLOOKUP(B195,#REF!,9,0)</f>
        <v>#REF!</v>
      </c>
      <c r="O195">
        <f>IFERROR(IF(J195="KG",VLOOKUP(H195,'Cost Price New'!D:E,2,0),VLOOKUP('BOMs setting'!H195,'Cost Price New'!D:I,6,0)),VLOOKUP(H195,A:R,18,0))</f>
        <v>4.7</v>
      </c>
      <c r="P195" s="22"/>
      <c r="Q195">
        <v>1</v>
      </c>
      <c r="V195" t="s">
        <v>603</v>
      </c>
      <c r="W195" s="135" t="s">
        <v>604</v>
      </c>
      <c r="AA195" t="str">
        <f>IFERROR(VLOOKUP(A195,'Capacity of production'!A:C,3,0),"")</f>
        <v/>
      </c>
    </row>
    <row r="196" spans="1:27" ht="15.75" thickBot="1">
      <c r="B196" s="33" t="s">
        <v>303</v>
      </c>
      <c r="C196" s="49" t="s">
        <v>304</v>
      </c>
      <c r="D196" s="50">
        <v>2.8998840046398144E-2</v>
      </c>
      <c r="E196" s="31">
        <f t="shared" si="27"/>
        <v>7.3657053717851292E-2</v>
      </c>
      <c r="F196" s="299"/>
      <c r="G196" s="37"/>
      <c r="H196" s="37" t="str">
        <f>VLOOKUP(B196,'Full Item list'!A:B,2,0)</f>
        <v>PM-640</v>
      </c>
      <c r="I196" s="37"/>
      <c r="J196" s="32" t="str">
        <f t="shared" si="28"/>
        <v>KG</v>
      </c>
      <c r="K196" s="37" t="str">
        <f>VLOOKUP(H196,'Full Item list'!B:O,14,0)</f>
        <v>KG</v>
      </c>
      <c r="L196" s="37"/>
      <c r="M196" s="22" t="e">
        <f t="shared" si="21"/>
        <v>#DIV/0!</v>
      </c>
      <c r="N196" s="22" t="e">
        <f>VLOOKUP(B196,#REF!,9,0)</f>
        <v>#REF!</v>
      </c>
      <c r="O196">
        <f>IFERROR(IF(J196="KG",VLOOKUP(H196,'Cost Price New'!D:E,2,0),VLOOKUP('BOMs setting'!H196,'Cost Price New'!D:I,6,0)),VLOOKUP(H196,A:R,18,0))</f>
        <v>2.54</v>
      </c>
      <c r="P196" s="22"/>
      <c r="Q196">
        <v>1</v>
      </c>
      <c r="V196" t="s">
        <v>603</v>
      </c>
      <c r="W196" s="135" t="s">
        <v>604</v>
      </c>
      <c r="AA196" t="str">
        <f>IFERROR(VLOOKUP(A196,'Capacity of production'!A:C,3,0),"")</f>
        <v/>
      </c>
    </row>
    <row r="197" spans="1:27" ht="15.75" thickBot="1">
      <c r="B197" s="38" t="s">
        <v>334</v>
      </c>
      <c r="C197" s="39" t="s">
        <v>129</v>
      </c>
      <c r="D197" s="52">
        <v>1.1999520019199232E-2</v>
      </c>
      <c r="E197" s="31">
        <f t="shared" si="27"/>
        <v>9.6476140954361814E-2</v>
      </c>
      <c r="F197" s="300"/>
      <c r="G197" s="37"/>
      <c r="H197" s="37" t="str">
        <f>VLOOKUP(B197,'Full Item list'!A:B,2,0)</f>
        <v>FT-690</v>
      </c>
      <c r="I197" s="37"/>
      <c r="J197" s="32" t="str">
        <f t="shared" si="28"/>
        <v>KG</v>
      </c>
      <c r="K197" s="37" t="str">
        <f>VLOOKUP(H197,'Full Item list'!B:O,14,0)</f>
        <v>KG</v>
      </c>
      <c r="L197" s="37"/>
      <c r="M197">
        <f t="shared" si="21"/>
        <v>0.80399999999999994</v>
      </c>
      <c r="N197" t="e">
        <f>VLOOKUP(B197,#REF!,9,0)</f>
        <v>#REF!</v>
      </c>
      <c r="O197">
        <f>IFERROR(IF(J197="KG",VLOOKUP(H197,'Cost Price New'!D:E,2,0),VLOOKUP('BOMs setting'!H197,'Cost Price New'!D:I,6,0)),VLOOKUP(H197,A:R,18,0))</f>
        <v>8.0399999999999991</v>
      </c>
      <c r="P197">
        <v>10</v>
      </c>
      <c r="Q197">
        <v>1</v>
      </c>
      <c r="V197" t="s">
        <v>603</v>
      </c>
      <c r="W197" s="135" t="s">
        <v>604</v>
      </c>
      <c r="AA197" t="str">
        <f>IFERROR(VLOOKUP(A197,'Capacity of production'!A:C,3,0),"")</f>
        <v/>
      </c>
    </row>
    <row r="198" spans="1:27" ht="15.75" thickBot="1">
      <c r="B198" s="41" t="s">
        <v>311</v>
      </c>
      <c r="C198" s="42" t="s">
        <v>313</v>
      </c>
      <c r="D198" s="284">
        <f>I176/AA176</f>
        <v>0.2</v>
      </c>
      <c r="E198" s="31">
        <f t="shared" si="27"/>
        <v>98.213248078252207</v>
      </c>
      <c r="F198" s="45" t="s">
        <v>782</v>
      </c>
      <c r="G198" s="32"/>
      <c r="H198" s="32" t="str">
        <f>VLOOKUP(B198,'Full Item list'!A:B,2,0)</f>
        <v>LAB/OH-Resin</v>
      </c>
      <c r="I198" s="32"/>
      <c r="J198" s="32" t="str">
        <f t="shared" si="28"/>
        <v>H</v>
      </c>
      <c r="K198" s="32" t="str">
        <f>VLOOKUP(H198,'Full Item list'!B:O,14,0)</f>
        <v>H</v>
      </c>
      <c r="L198" s="32"/>
      <c r="O198">
        <f>IFERROR(IF(J198="KG",VLOOKUP(H198,'Cost Price New'!D:E,2,0),VLOOKUP('BOMs setting'!H198,'Cost Price New'!D:I,6,0)),VLOOKUP(H198,A:R,18,0))</f>
        <v>491.06624039126103</v>
      </c>
      <c r="V198" t="s">
        <v>603</v>
      </c>
      <c r="W198" s="135" t="s">
        <v>604</v>
      </c>
      <c r="AA198" t="str">
        <f>IFERROR(VLOOKUP(A198,'Capacity of production'!A:C,3,0),"")</f>
        <v/>
      </c>
    </row>
    <row r="199" spans="1:27" ht="15">
      <c r="B199" s="54"/>
      <c r="C199" s="55"/>
      <c r="D199" s="56"/>
      <c r="E199" s="56" t="s">
        <v>466</v>
      </c>
      <c r="F199" s="56">
        <f>SUM(E178:E198)</f>
        <v>104.31417974098569</v>
      </c>
      <c r="G199" s="55"/>
      <c r="H199" s="55"/>
      <c r="I199" s="55"/>
      <c r="J199" s="55"/>
      <c r="K199" s="55"/>
      <c r="L199" s="55"/>
      <c r="V199" t="s">
        <v>603</v>
      </c>
      <c r="W199" s="135" t="s">
        <v>604</v>
      </c>
      <c r="AA199" t="str">
        <f>IFERROR(VLOOKUP(A199,'Capacity of production'!A:C,3,0),"")</f>
        <v/>
      </c>
    </row>
    <row r="200" spans="1:27" ht="15.75" thickBot="1">
      <c r="B200" s="54"/>
      <c r="C200" s="55"/>
      <c r="D200" s="56"/>
      <c r="E200" s="56"/>
      <c r="F200" s="55"/>
      <c r="G200" s="55"/>
      <c r="H200" s="55"/>
      <c r="I200" s="55"/>
      <c r="J200" s="55"/>
      <c r="K200" s="55"/>
      <c r="L200" s="55"/>
      <c r="V200" t="s">
        <v>603</v>
      </c>
      <c r="W200" s="135" t="s">
        <v>604</v>
      </c>
      <c r="AA200" t="str">
        <f>IFERROR(VLOOKUP(A200,'Capacity of production'!A:C,3,0),"")</f>
        <v/>
      </c>
    </row>
    <row r="201" spans="1:27" ht="16.5" thickBot="1">
      <c r="A201" t="str">
        <f>B201</f>
        <v>PI010C</v>
      </c>
      <c r="B201" s="66" t="s">
        <v>196</v>
      </c>
      <c r="C201" s="288" t="str">
        <f>VLOOKUP(A201,'All products'!A:B,2,0)</f>
        <v>TECNOPINT</v>
      </c>
      <c r="D201" s="288"/>
      <c r="E201" s="288"/>
      <c r="F201" s="289"/>
      <c r="G201" s="21">
        <v>1</v>
      </c>
      <c r="H201" s="21" t="str">
        <f>VLOOKUP(B201,'Full Item list'!A:B,2,0)</f>
        <v>PI010C</v>
      </c>
      <c r="I201" s="21">
        <f>VLOOKUP(H201,'Full Item list'!B:J,9,0)</f>
        <v>25</v>
      </c>
      <c r="J201" s="21"/>
      <c r="K201" s="21" t="str">
        <f>VLOOKUP(H201,'Full Item list'!B:O,14,0)</f>
        <v>PCS</v>
      </c>
      <c r="L201" s="21"/>
      <c r="M201">
        <f t="shared" si="21"/>
        <v>0</v>
      </c>
      <c r="N201" t="e">
        <f>VLOOKUP(B201,#REF!,9,0)</f>
        <v>#REF!</v>
      </c>
      <c r="P201">
        <v>25</v>
      </c>
      <c r="R201">
        <f ca="1">OFFSET(F201,MATCH("Total Cost:",E201:E251,0)-1,0,1,1)/G201</f>
        <v>41.888328004890766</v>
      </c>
      <c r="U201" t="str">
        <f>VLOOKUP(H201,'Full Item list'!B:D,3,0)</f>
        <v>Product</v>
      </c>
      <c r="V201" t="s">
        <v>603</v>
      </c>
      <c r="W201" s="135" t="s">
        <v>604</v>
      </c>
      <c r="X201" t="s">
        <v>629</v>
      </c>
      <c r="Y201" t="s">
        <v>630</v>
      </c>
      <c r="AA201">
        <f>IFERROR(VLOOKUP(A201,'Capacity of production'!A:C,3,0),"")</f>
        <v>2000</v>
      </c>
    </row>
    <row r="202" spans="1:27" ht="15" thickBot="1">
      <c r="B202" s="23" t="s">
        <v>319</v>
      </c>
      <c r="C202" s="24" t="s">
        <v>320</v>
      </c>
      <c r="D202" s="25" t="s">
        <v>321</v>
      </c>
      <c r="E202" s="25" t="s">
        <v>322</v>
      </c>
      <c r="F202" s="26" t="s">
        <v>323</v>
      </c>
      <c r="G202" s="27"/>
      <c r="H202" s="27"/>
      <c r="I202" s="27"/>
      <c r="J202" s="27"/>
      <c r="K202" s="27"/>
      <c r="L202" s="27"/>
      <c r="V202" t="s">
        <v>603</v>
      </c>
      <c r="W202" s="135" t="s">
        <v>604</v>
      </c>
      <c r="AA202" t="str">
        <f>IFERROR(VLOOKUP(A202,'Capacity of production'!A:C,3,0),"")</f>
        <v/>
      </c>
    </row>
    <row r="203" spans="1:27" ht="15.75" thickBot="1">
      <c r="B203" s="41" t="s">
        <v>189</v>
      </c>
      <c r="C203" s="42" t="s">
        <v>190</v>
      </c>
      <c r="D203" s="43">
        <v>1</v>
      </c>
      <c r="E203" s="31">
        <f>O203*D203</f>
        <v>35.75</v>
      </c>
      <c r="F203" s="45"/>
      <c r="G203" s="32"/>
      <c r="H203" s="32" t="str">
        <f>VLOOKUP(B203,'Full Item list'!A:B,2,0)</f>
        <v>MPRE077</v>
      </c>
      <c r="I203" s="32"/>
      <c r="J203" s="32" t="str">
        <f t="shared" ref="J203:J204" si="29">K203</f>
        <v>PCS</v>
      </c>
      <c r="K203" s="32" t="str">
        <f>VLOOKUP(H203,'Full Item list'!B:O,14,0)</f>
        <v>PCS</v>
      </c>
      <c r="L203" s="32"/>
      <c r="M203">
        <f t="shared" si="21"/>
        <v>1.43</v>
      </c>
      <c r="N203" t="e">
        <f>VLOOKUP(B203,#REF!,9,0)</f>
        <v>#REF!</v>
      </c>
      <c r="O203">
        <f>IFERROR(IF(J203="KG",VLOOKUP(H203,'Cost Price New'!D:E,2,0),VLOOKUP('BOMs setting'!H203,'Cost Price New'!D:I,6,0)),VLOOKUP(H203,A:R,18,0))</f>
        <v>35.75</v>
      </c>
      <c r="P203">
        <v>25</v>
      </c>
      <c r="Q203">
        <v>1</v>
      </c>
      <c r="V203" t="s">
        <v>603</v>
      </c>
      <c r="W203" s="135" t="s">
        <v>604</v>
      </c>
      <c r="AA203" t="str">
        <f>IFERROR(VLOOKUP(A203,'Capacity of production'!A:C,3,0),"")</f>
        <v/>
      </c>
    </row>
    <row r="204" spans="1:27" ht="15.75" thickBot="1">
      <c r="B204" s="41" t="s">
        <v>311</v>
      </c>
      <c r="C204" s="42" t="s">
        <v>313</v>
      </c>
      <c r="D204" s="284">
        <f>I201/AA201</f>
        <v>1.2500000000000001E-2</v>
      </c>
      <c r="E204" s="31">
        <f>O204*D204</f>
        <v>6.1383280048907629</v>
      </c>
      <c r="F204" s="45" t="s">
        <v>782</v>
      </c>
      <c r="G204" s="32"/>
      <c r="H204" s="32" t="str">
        <f>VLOOKUP(B204,'Full Item list'!A:B,2,0)</f>
        <v>LAB/OH-Resin</v>
      </c>
      <c r="I204" s="32"/>
      <c r="J204" s="32" t="str">
        <f t="shared" si="29"/>
        <v>H</v>
      </c>
      <c r="K204" s="32" t="str">
        <f>VLOOKUP(H204,'Full Item list'!B:O,14,0)</f>
        <v>H</v>
      </c>
      <c r="L204" s="32"/>
      <c r="O204">
        <f>IFERROR(IF(J204="KG",VLOOKUP(H204,'Cost Price New'!D:E,2,0),VLOOKUP('BOMs setting'!H204,'Cost Price New'!D:I,6,0)),VLOOKUP(H204,A:R,18,0))</f>
        <v>491.06624039126103</v>
      </c>
      <c r="V204" t="s">
        <v>603</v>
      </c>
      <c r="W204" s="135" t="s">
        <v>604</v>
      </c>
      <c r="AA204" t="str">
        <f>IFERROR(VLOOKUP(A204,'Capacity of production'!A:C,3,0),"")</f>
        <v/>
      </c>
    </row>
    <row r="205" spans="1:27" ht="15">
      <c r="B205" s="54"/>
      <c r="C205" s="55"/>
      <c r="D205" s="56"/>
      <c r="E205" s="56" t="s">
        <v>466</v>
      </c>
      <c r="F205" s="56">
        <f>SUM(E203:E204)</f>
        <v>41.888328004890766</v>
      </c>
      <c r="G205" s="55"/>
      <c r="H205" s="55"/>
      <c r="I205" s="55"/>
      <c r="J205" s="55"/>
      <c r="K205" s="55"/>
      <c r="L205" s="55"/>
      <c r="V205" t="s">
        <v>603</v>
      </c>
      <c r="W205" s="135" t="s">
        <v>604</v>
      </c>
      <c r="AA205" t="str">
        <f>IFERROR(VLOOKUP(A205,'Capacity of production'!A:C,3,0),"")</f>
        <v/>
      </c>
    </row>
    <row r="206" spans="1:27" ht="15.75" thickBot="1">
      <c r="B206" s="54"/>
      <c r="C206" s="55"/>
      <c r="D206" s="56"/>
      <c r="E206" s="56"/>
      <c r="F206" s="55"/>
      <c r="G206" s="55"/>
      <c r="H206" s="55"/>
      <c r="I206" s="55"/>
      <c r="J206" s="55"/>
      <c r="K206" s="55"/>
      <c r="L206" s="55"/>
      <c r="V206" t="s">
        <v>603</v>
      </c>
      <c r="W206" s="135" t="s">
        <v>604</v>
      </c>
      <c r="AA206" t="str">
        <f>IFERROR(VLOOKUP(A206,'Capacity of production'!A:C,3,0),"")</f>
        <v/>
      </c>
    </row>
    <row r="207" spans="1:27" ht="16.5" thickBot="1">
      <c r="A207" s="102" t="s">
        <v>43</v>
      </c>
      <c r="B207" s="66" t="s">
        <v>43</v>
      </c>
      <c r="C207" s="288" t="str">
        <f>VLOOKUP(A207,'All products'!A:B,2,0)</f>
        <v>TECNOACRY (5KG)</v>
      </c>
      <c r="D207" s="288"/>
      <c r="E207" s="288"/>
      <c r="F207" s="289"/>
      <c r="G207" s="21">
        <v>1</v>
      </c>
      <c r="H207" s="21" t="str">
        <f>VLOOKUP(B207,'Full Item list'!A:B,2,0)</f>
        <v>AD058F</v>
      </c>
      <c r="I207" s="21">
        <f>VLOOKUP(H207,'Full Item list'!B:J,9,0)</f>
        <v>5</v>
      </c>
      <c r="J207" s="21"/>
      <c r="K207" s="21" t="str">
        <f>VLOOKUP(H207,'Full Item list'!B:O,14,0)</f>
        <v>PCS</v>
      </c>
      <c r="L207" s="21"/>
      <c r="M207">
        <f t="shared" si="21"/>
        <v>0</v>
      </c>
      <c r="N207" t="e">
        <f>VLOOKUP(B207,#REF!,9,0)</f>
        <v>#REF!</v>
      </c>
      <c r="P207">
        <v>5</v>
      </c>
      <c r="R207">
        <f ca="1">OFFSET(F207,MATCH("Total Cost:",E207:E258,0)-1,0,1,1)/G207</f>
        <v>29.447665819563049</v>
      </c>
      <c r="U207" t="str">
        <f>VLOOKUP(H207,'Full Item list'!B:D,3,0)</f>
        <v>Product</v>
      </c>
      <c r="V207" t="s">
        <v>603</v>
      </c>
      <c r="W207" s="135" t="s">
        <v>604</v>
      </c>
      <c r="X207" t="s">
        <v>606</v>
      </c>
      <c r="AA207">
        <f>IFERROR(VLOOKUP(A207,'Capacity of production'!A:C,3,0),"")</f>
        <v>100</v>
      </c>
    </row>
    <row r="208" spans="1:27" ht="15" thickBot="1">
      <c r="B208" s="23" t="s">
        <v>319</v>
      </c>
      <c r="C208" s="24" t="s">
        <v>320</v>
      </c>
      <c r="D208" s="25" t="s">
        <v>321</v>
      </c>
      <c r="E208" s="25" t="s">
        <v>322</v>
      </c>
      <c r="F208" s="53" t="s">
        <v>323</v>
      </c>
      <c r="G208" s="27"/>
      <c r="H208" s="27"/>
      <c r="I208" s="27"/>
      <c r="J208" s="27"/>
      <c r="K208" s="27"/>
      <c r="L208" s="27"/>
      <c r="V208" t="s">
        <v>603</v>
      </c>
      <c r="W208" s="135" t="s">
        <v>604</v>
      </c>
      <c r="AA208" t="str">
        <f>IFERROR(VLOOKUP(A208,'Capacity of production'!A:C,3,0),"")</f>
        <v/>
      </c>
    </row>
    <row r="209" spans="1:27" ht="15.75" thickBot="1">
      <c r="B209" s="28" t="s">
        <v>344</v>
      </c>
      <c r="C209" s="29" t="s">
        <v>140</v>
      </c>
      <c r="D209" s="30">
        <v>2.0339999999999998</v>
      </c>
      <c r="E209" s="31">
        <f>O209*D209</f>
        <v>4.8815999999999997</v>
      </c>
      <c r="F209" s="285"/>
      <c r="G209" s="32"/>
      <c r="H209" s="32" t="str">
        <f>VLOOKUP(B209,'Full Item list'!A:B,2,0)</f>
        <v>MA-140</v>
      </c>
      <c r="I209" s="32"/>
      <c r="J209" s="32" t="str">
        <f t="shared" ref="J209:J211" si="30">K209</f>
        <v>KG</v>
      </c>
      <c r="K209" s="32" t="str">
        <f>VLOOKUP(H209,'Full Item list'!B:O,14,0)</f>
        <v>KG</v>
      </c>
      <c r="L209" s="32"/>
      <c r="M209">
        <f t="shared" si="21"/>
        <v>1.9199999999999998E-2</v>
      </c>
      <c r="N209" t="e">
        <f>VLOOKUP(B209,#REF!,9,0)</f>
        <v>#REF!</v>
      </c>
      <c r="O209">
        <f>IFERROR(IF(J209="KG",VLOOKUP(H209,'Cost Price New'!D:E,2,0),VLOOKUP('BOMs setting'!H209,'Cost Price New'!D:I,6,0)),VLOOKUP(H209,A:R,18,0))</f>
        <v>2.4</v>
      </c>
      <c r="P209">
        <v>125</v>
      </c>
      <c r="Q209">
        <v>1</v>
      </c>
      <c r="V209" t="s">
        <v>603</v>
      </c>
      <c r="W209" s="135" t="s">
        <v>604</v>
      </c>
      <c r="AA209" t="str">
        <f>IFERROR(VLOOKUP(A209,'Capacity of production'!A:C,3,0),"")</f>
        <v/>
      </c>
    </row>
    <row r="210" spans="1:27" ht="15.75" thickBot="1">
      <c r="B210" s="67" t="s">
        <v>305</v>
      </c>
      <c r="C210" s="39" t="s">
        <v>306</v>
      </c>
      <c r="D210" s="40">
        <v>2.9659999999999997</v>
      </c>
      <c r="E210" s="31">
        <f>O210*D210</f>
        <v>1.2753799999999999E-2</v>
      </c>
      <c r="F210" s="287"/>
      <c r="G210" s="37"/>
      <c r="H210" s="37" t="str">
        <f>VLOOKUP(B210,'Full Item list'!A:B,2,0)</f>
        <v>SE-020</v>
      </c>
      <c r="I210" s="37"/>
      <c r="J210" s="32" t="str">
        <f t="shared" si="30"/>
        <v>KG</v>
      </c>
      <c r="K210" s="37" t="str">
        <f>VLOOKUP(H210,'Full Item list'!B:O,14,0)</f>
        <v>KG</v>
      </c>
      <c r="L210" s="37"/>
      <c r="M210" s="22" t="e">
        <f t="shared" si="21"/>
        <v>#DIV/0!</v>
      </c>
      <c r="N210" s="22" t="e">
        <f>VLOOKUP(B210,#REF!,9,0)</f>
        <v>#REF!</v>
      </c>
      <c r="O210">
        <f>IFERROR(IF(J210="KG",VLOOKUP(H210,'Cost Price New'!D:E,2,0),VLOOKUP('BOMs setting'!H210,'Cost Price New'!D:I,6,0)),VLOOKUP(H210,A:R,18,0))</f>
        <v>4.3E-3</v>
      </c>
      <c r="Q210">
        <v>1</v>
      </c>
      <c r="V210" t="s">
        <v>603</v>
      </c>
      <c r="W210" s="135" t="s">
        <v>604</v>
      </c>
      <c r="AA210" t="str">
        <f>IFERROR(VLOOKUP(A210,'Capacity of production'!A:C,3,0),"")</f>
        <v/>
      </c>
    </row>
    <row r="211" spans="1:27" ht="15.75" thickBot="1">
      <c r="B211" s="41" t="s">
        <v>311</v>
      </c>
      <c r="C211" s="42" t="s">
        <v>313</v>
      </c>
      <c r="D211" s="284">
        <f>I207/AA207</f>
        <v>0.05</v>
      </c>
      <c r="E211" s="31">
        <f>O211*D211</f>
        <v>24.553312019563052</v>
      </c>
      <c r="F211" s="45" t="s">
        <v>782</v>
      </c>
      <c r="G211" s="32"/>
      <c r="H211" s="32" t="str">
        <f>VLOOKUP(B211,'Full Item list'!A:B,2,0)</f>
        <v>LAB/OH-Resin</v>
      </c>
      <c r="I211" s="32"/>
      <c r="J211" s="32" t="str">
        <f t="shared" si="30"/>
        <v>H</v>
      </c>
      <c r="K211" s="32" t="str">
        <f>VLOOKUP(H211,'Full Item list'!B:O,14,0)</f>
        <v>H</v>
      </c>
      <c r="L211" s="32"/>
      <c r="O211">
        <f>IFERROR(IF(J211="KG",VLOOKUP(H211,'Cost Price New'!D:E,2,0),VLOOKUP('BOMs setting'!H211,'Cost Price New'!D:I,6,0)),VLOOKUP(H211,A:R,18,0))</f>
        <v>491.06624039126103</v>
      </c>
      <c r="V211" t="s">
        <v>603</v>
      </c>
      <c r="W211" s="135" t="s">
        <v>604</v>
      </c>
      <c r="AA211" t="str">
        <f>IFERROR(VLOOKUP(A211,'Capacity of production'!A:C,3,0),"")</f>
        <v/>
      </c>
    </row>
    <row r="212" spans="1:27" ht="15">
      <c r="B212" s="54"/>
      <c r="C212" s="55"/>
      <c r="D212" s="56"/>
      <c r="E212" s="56" t="s">
        <v>466</v>
      </c>
      <c r="F212" s="56">
        <f>SUM(E209:E211)</f>
        <v>29.447665819563049</v>
      </c>
      <c r="G212" s="55"/>
      <c r="H212" s="55"/>
      <c r="I212" s="55"/>
      <c r="J212" s="55"/>
      <c r="K212" s="55"/>
      <c r="L212" s="55"/>
      <c r="V212" t="s">
        <v>603</v>
      </c>
      <c r="W212" s="135" t="s">
        <v>604</v>
      </c>
      <c r="AA212" t="str">
        <f>IFERROR(VLOOKUP(A212,'Capacity of production'!A:C,3,0),"")</f>
        <v/>
      </c>
    </row>
    <row r="213" spans="1:27" ht="15.75" thickBot="1">
      <c r="B213" s="54"/>
      <c r="C213" s="55"/>
      <c r="D213" s="56"/>
      <c r="E213" s="56"/>
      <c r="F213" s="55"/>
      <c r="G213" s="55"/>
      <c r="H213" s="55"/>
      <c r="I213" s="55"/>
      <c r="J213" s="55"/>
      <c r="K213" s="55"/>
      <c r="L213" s="55"/>
      <c r="V213" t="s">
        <v>603</v>
      </c>
      <c r="W213" s="135" t="s">
        <v>604</v>
      </c>
      <c r="AA213" t="str">
        <f>IFERROR(VLOOKUP(A213,'Capacity of production'!A:C,3,0),"")</f>
        <v/>
      </c>
    </row>
    <row r="214" spans="1:27" ht="16.5" thickBot="1">
      <c r="A214" t="str">
        <f>B214</f>
        <v>AD060F</v>
      </c>
      <c r="B214" s="66" t="s">
        <v>61</v>
      </c>
      <c r="C214" s="288" t="str">
        <f>VLOOKUP(A214,'All products'!A:B,2,0)</f>
        <v>TECNOACRY (25KG)</v>
      </c>
      <c r="D214" s="288"/>
      <c r="E214" s="288"/>
      <c r="F214" s="289"/>
      <c r="G214" s="21">
        <v>1</v>
      </c>
      <c r="H214" s="21" t="str">
        <f>VLOOKUP(B214,'Full Item list'!A:B,2,0)</f>
        <v>AD060F</v>
      </c>
      <c r="I214" s="21">
        <f>VLOOKUP(H214,'Full Item list'!B:J,9,0)</f>
        <v>25</v>
      </c>
      <c r="J214" s="21"/>
      <c r="K214" s="21" t="str">
        <f>VLOOKUP(H214,'Full Item list'!B:O,14,0)</f>
        <v>PCS</v>
      </c>
      <c r="L214" s="21"/>
      <c r="M214">
        <f>O214/P214</f>
        <v>0</v>
      </c>
      <c r="N214" t="e">
        <f>VLOOKUP(B214,#REF!,9,0)</f>
        <v>#REF!</v>
      </c>
      <c r="P214">
        <v>25</v>
      </c>
      <c r="R214">
        <f ca="1">OFFSET(F214,MATCH("Total Cost:",E214:E263,0)-1,0,1,1)/G214</f>
        <v>62.246095183943154</v>
      </c>
      <c r="U214" t="str">
        <f>VLOOKUP(H214,'Full Item list'!B:D,3,0)</f>
        <v>Product</v>
      </c>
      <c r="V214" t="s">
        <v>603</v>
      </c>
      <c r="W214" s="135" t="s">
        <v>604</v>
      </c>
      <c r="X214" t="s">
        <v>606</v>
      </c>
      <c r="AA214">
        <f>IFERROR(VLOOKUP(A214,'Capacity of production'!A:C,3,0),"")</f>
        <v>325</v>
      </c>
    </row>
    <row r="215" spans="1:27" ht="15" thickBot="1">
      <c r="B215" s="23" t="s">
        <v>319</v>
      </c>
      <c r="C215" s="24" t="s">
        <v>320</v>
      </c>
      <c r="D215" s="25" t="s">
        <v>321</v>
      </c>
      <c r="E215" s="25" t="s">
        <v>322</v>
      </c>
      <c r="F215" s="53" t="s">
        <v>323</v>
      </c>
      <c r="G215" s="27"/>
      <c r="H215" s="27"/>
      <c r="I215" s="27"/>
      <c r="J215" s="27"/>
      <c r="K215" s="27"/>
      <c r="L215" s="27"/>
      <c r="V215" t="s">
        <v>603</v>
      </c>
      <c r="W215" s="135" t="s">
        <v>604</v>
      </c>
      <c r="AA215" t="str">
        <f>IFERROR(VLOOKUP(A215,'Capacity of production'!A:C,3,0),"")</f>
        <v/>
      </c>
    </row>
    <row r="216" spans="1:27" ht="15.75" thickBot="1">
      <c r="B216" s="28" t="s">
        <v>344</v>
      </c>
      <c r="C216" s="29" t="s">
        <v>140</v>
      </c>
      <c r="D216" s="30">
        <v>10.17</v>
      </c>
      <c r="E216" s="31">
        <f>O216*D216</f>
        <v>24.407999999999998</v>
      </c>
      <c r="F216" s="285"/>
      <c r="G216" s="32"/>
      <c r="H216" s="32" t="str">
        <f>VLOOKUP(B216,'Full Item list'!A:B,2,0)</f>
        <v>MA-140</v>
      </c>
      <c r="I216" s="32"/>
      <c r="J216" s="32" t="str">
        <f t="shared" ref="J216:J218" si="31">K216</f>
        <v>KG</v>
      </c>
      <c r="K216" s="32" t="str">
        <f>VLOOKUP(H216,'Full Item list'!B:O,14,0)</f>
        <v>KG</v>
      </c>
      <c r="L216" s="32"/>
      <c r="M216">
        <f>O216/P216</f>
        <v>1.9199999999999998E-2</v>
      </c>
      <c r="N216" t="e">
        <f>VLOOKUP(B216,#REF!,9,0)</f>
        <v>#REF!</v>
      </c>
      <c r="O216">
        <f>IFERROR(IF(J216="KG",VLOOKUP(H216,'Cost Price New'!D:E,2,0),VLOOKUP('BOMs setting'!H216,'Cost Price New'!D:I,6,0)),VLOOKUP(H216,A:R,18,0))</f>
        <v>2.4</v>
      </c>
      <c r="P216">
        <v>125</v>
      </c>
      <c r="Q216">
        <v>1</v>
      </c>
      <c r="V216" t="s">
        <v>603</v>
      </c>
      <c r="W216" s="135" t="s">
        <v>604</v>
      </c>
      <c r="AA216" t="str">
        <f>IFERROR(VLOOKUP(A216,'Capacity of production'!A:C,3,0),"")</f>
        <v/>
      </c>
    </row>
    <row r="217" spans="1:27" ht="15.75" thickBot="1">
      <c r="B217" s="67" t="s">
        <v>305</v>
      </c>
      <c r="C217" s="39" t="s">
        <v>306</v>
      </c>
      <c r="D217" s="40">
        <v>14.83</v>
      </c>
      <c r="E217" s="31">
        <f>O217*D217</f>
        <v>6.3769000000000006E-2</v>
      </c>
      <c r="F217" s="287"/>
      <c r="G217" s="37"/>
      <c r="H217" s="37" t="str">
        <f>VLOOKUP(B217,'Full Item list'!A:B,2,0)</f>
        <v>SE-020</v>
      </c>
      <c r="I217" s="37"/>
      <c r="J217" s="32" t="str">
        <f t="shared" si="31"/>
        <v>KG</v>
      </c>
      <c r="K217" s="37" t="str">
        <f>VLOOKUP(H217,'Full Item list'!B:O,14,0)</f>
        <v>KG</v>
      </c>
      <c r="L217" s="37"/>
      <c r="M217" s="22" t="e">
        <f>O217/P217</f>
        <v>#DIV/0!</v>
      </c>
      <c r="N217" s="22" t="e">
        <f>VLOOKUP(B217,#REF!,9,0)</f>
        <v>#REF!</v>
      </c>
      <c r="O217">
        <f>IFERROR(IF(J217="KG",VLOOKUP(H217,'Cost Price New'!D:E,2,0),VLOOKUP('BOMs setting'!H217,'Cost Price New'!D:I,6,0)),VLOOKUP(H217,A:R,18,0))</f>
        <v>4.3E-3</v>
      </c>
      <c r="Q217">
        <v>1</v>
      </c>
      <c r="V217" t="s">
        <v>603</v>
      </c>
      <c r="W217" s="135" t="s">
        <v>604</v>
      </c>
      <c r="AA217" t="str">
        <f>IFERROR(VLOOKUP(A217,'Capacity of production'!A:C,3,0),"")</f>
        <v/>
      </c>
    </row>
    <row r="218" spans="1:27" ht="15.75" thickBot="1">
      <c r="B218" s="41" t="s">
        <v>311</v>
      </c>
      <c r="C218" s="42" t="s">
        <v>313</v>
      </c>
      <c r="D218" s="284">
        <f>I214/AA214</f>
        <v>7.6923076923076927E-2</v>
      </c>
      <c r="E218" s="31">
        <f>O218*D218</f>
        <v>37.77432618394316</v>
      </c>
      <c r="F218" s="45" t="s">
        <v>782</v>
      </c>
      <c r="G218" s="32"/>
      <c r="H218" s="32" t="str">
        <f>VLOOKUP(B218,'Full Item list'!A:B,2,0)</f>
        <v>LAB/OH-Resin</v>
      </c>
      <c r="I218" s="32"/>
      <c r="J218" s="32" t="str">
        <f t="shared" si="31"/>
        <v>H</v>
      </c>
      <c r="K218" s="32" t="str">
        <f>VLOOKUP(H218,'Full Item list'!B:O,14,0)</f>
        <v>H</v>
      </c>
      <c r="L218" s="32"/>
      <c r="O218">
        <f>IFERROR(IF(J218="KG",VLOOKUP(H218,'Cost Price New'!D:E,2,0),VLOOKUP('BOMs setting'!H218,'Cost Price New'!D:I,6,0)),VLOOKUP(H218,A:R,18,0))</f>
        <v>491.06624039126103</v>
      </c>
      <c r="V218" t="s">
        <v>603</v>
      </c>
      <c r="W218" s="135" t="s">
        <v>604</v>
      </c>
      <c r="AA218" t="str">
        <f>IFERROR(VLOOKUP(A218,'Capacity of production'!A:C,3,0),"")</f>
        <v/>
      </c>
    </row>
    <row r="219" spans="1:27" ht="15">
      <c r="B219" s="54"/>
      <c r="C219" s="55"/>
      <c r="D219" s="56"/>
      <c r="E219" s="56" t="s">
        <v>466</v>
      </c>
      <c r="F219" s="56">
        <f>SUM(E216:E218)</f>
        <v>62.246095183943154</v>
      </c>
      <c r="G219" s="55"/>
      <c r="H219" s="55"/>
      <c r="I219" s="55"/>
      <c r="J219" s="55"/>
      <c r="K219" s="55"/>
      <c r="L219" s="55"/>
      <c r="V219" t="s">
        <v>603</v>
      </c>
      <c r="W219" s="135" t="s">
        <v>604</v>
      </c>
      <c r="AA219" t="str">
        <f>IFERROR(VLOOKUP(A219,'Capacity of production'!A:C,3,0),"")</f>
        <v/>
      </c>
    </row>
    <row r="220" spans="1:27" ht="15.75" thickBot="1">
      <c r="B220" s="54"/>
      <c r="C220" s="55"/>
      <c r="D220" s="56"/>
      <c r="E220" s="56"/>
      <c r="F220" s="55"/>
      <c r="G220" s="55"/>
      <c r="H220" s="55"/>
      <c r="I220" s="55"/>
      <c r="J220" s="55"/>
      <c r="K220" s="55"/>
      <c r="L220" s="55"/>
      <c r="V220" t="s">
        <v>603</v>
      </c>
      <c r="W220" s="135" t="s">
        <v>604</v>
      </c>
      <c r="AA220" t="str">
        <f>IFERROR(VLOOKUP(A220,'Capacity of production'!A:C,3,0),"")</f>
        <v/>
      </c>
    </row>
    <row r="221" spans="1:27" ht="16.5" thickBot="1">
      <c r="A221" s="102" t="s">
        <v>63</v>
      </c>
      <c r="B221" s="66" t="s">
        <v>63</v>
      </c>
      <c r="C221" s="288" t="str">
        <f>VLOOKUP(A221,'All products'!A:B,2,0)</f>
        <v>TECNOACRY (200KG)</v>
      </c>
      <c r="D221" s="288"/>
      <c r="E221" s="288"/>
      <c r="F221" s="289"/>
      <c r="G221" s="21">
        <v>1</v>
      </c>
      <c r="H221" s="21" t="str">
        <f>VLOOKUP(B221,'Full Item list'!A:B,2,0)</f>
        <v>AD070F</v>
      </c>
      <c r="I221" s="21">
        <f>VLOOKUP(H221,'Full Item list'!B:J,9,0)</f>
        <v>200</v>
      </c>
      <c r="J221" s="21"/>
      <c r="K221" s="21" t="str">
        <f>VLOOKUP(H221,'Full Item list'!B:O,14,0)</f>
        <v>PCS</v>
      </c>
      <c r="L221" s="21"/>
      <c r="M221">
        <f>O221/P221</f>
        <v>0</v>
      </c>
      <c r="N221" t="e">
        <f>VLOOKUP(B221,#REF!,9,0)</f>
        <v>#REF!</v>
      </c>
      <c r="P221">
        <v>200</v>
      </c>
      <c r="R221">
        <f ca="1">OFFSET(F221,MATCH("Total Cost:",E221:E270,0)-1,0,1,1)/G221</f>
        <v>359.46289879708695</v>
      </c>
      <c r="U221" t="str">
        <f>VLOOKUP(H221,'Full Item list'!B:D,3,0)</f>
        <v>Product</v>
      </c>
      <c r="V221" t="s">
        <v>603</v>
      </c>
      <c r="W221" s="135" t="s">
        <v>604</v>
      </c>
      <c r="X221" t="s">
        <v>606</v>
      </c>
      <c r="AA221">
        <f>IFERROR(VLOOKUP(A221,'Capacity of production'!A:C,3,0),"")</f>
        <v>600</v>
      </c>
    </row>
    <row r="222" spans="1:27" ht="15" thickBot="1">
      <c r="B222" s="23" t="s">
        <v>319</v>
      </c>
      <c r="C222" s="24" t="s">
        <v>320</v>
      </c>
      <c r="D222" s="25" t="s">
        <v>321</v>
      </c>
      <c r="E222" s="25" t="s">
        <v>322</v>
      </c>
      <c r="F222" s="53" t="s">
        <v>323</v>
      </c>
      <c r="G222" s="27"/>
      <c r="H222" s="27" t="e">
        <f>VLOOKUP(B222,'Full Item list'!A:B,2,0)</f>
        <v>#N/A</v>
      </c>
      <c r="I222" s="27"/>
      <c r="J222" s="27"/>
      <c r="K222" s="27" t="e">
        <f>VLOOKUP(H222,'Full Item list'!B:O,14,0)</f>
        <v>#N/A</v>
      </c>
      <c r="L222" s="27"/>
      <c r="V222" t="s">
        <v>603</v>
      </c>
      <c r="W222" s="135" t="s">
        <v>604</v>
      </c>
      <c r="AA222" t="str">
        <f>IFERROR(VLOOKUP(A222,'Capacity of production'!A:C,3,0),"")</f>
        <v/>
      </c>
    </row>
    <row r="223" spans="1:27" ht="15.75" thickBot="1">
      <c r="B223" s="28" t="s">
        <v>344</v>
      </c>
      <c r="C223" s="29" t="s">
        <v>140</v>
      </c>
      <c r="D223" s="30">
        <v>81.36</v>
      </c>
      <c r="E223" s="31">
        <f>O223*D223</f>
        <v>195.26399999999998</v>
      </c>
      <c r="F223" s="285"/>
      <c r="G223" s="32"/>
      <c r="H223" s="32" t="str">
        <f>VLOOKUP(B223,'Full Item list'!A:B,2,0)</f>
        <v>MA-140</v>
      </c>
      <c r="I223" s="32"/>
      <c r="J223" s="32" t="str">
        <f t="shared" ref="J223:J225" si="32">K223</f>
        <v>KG</v>
      </c>
      <c r="K223" s="32" t="str">
        <f>VLOOKUP(H223,'Full Item list'!B:O,14,0)</f>
        <v>KG</v>
      </c>
      <c r="L223" s="32"/>
      <c r="M223">
        <f>O223/P223</f>
        <v>1.9199999999999998E-2</v>
      </c>
      <c r="N223" t="e">
        <f>VLOOKUP(B223,#REF!,9,0)</f>
        <v>#REF!</v>
      </c>
      <c r="O223">
        <f>IFERROR(IF(J223="KG",VLOOKUP(H223,'Cost Price New'!D:E,2,0),VLOOKUP('BOMs setting'!H223,'Cost Price New'!D:I,6,0)),VLOOKUP(H223,A:R,18,0))</f>
        <v>2.4</v>
      </c>
      <c r="P223">
        <v>125</v>
      </c>
      <c r="Q223">
        <v>1</v>
      </c>
      <c r="V223" t="s">
        <v>603</v>
      </c>
      <c r="W223" s="135" t="s">
        <v>604</v>
      </c>
      <c r="AA223" t="str">
        <f>IFERROR(VLOOKUP(A223,'Capacity of production'!A:C,3,0),"")</f>
        <v/>
      </c>
    </row>
    <row r="224" spans="1:27" ht="15.75" thickBot="1">
      <c r="B224" s="67" t="s">
        <v>305</v>
      </c>
      <c r="C224" s="39" t="s">
        <v>306</v>
      </c>
      <c r="D224" s="40">
        <v>118.63999999999999</v>
      </c>
      <c r="E224" s="31">
        <f>O224*D224</f>
        <v>0.51015199999999994</v>
      </c>
      <c r="F224" s="287"/>
      <c r="G224" s="37"/>
      <c r="H224" s="37" t="str">
        <f>VLOOKUP(B224,'Full Item list'!A:B,2,0)</f>
        <v>SE-020</v>
      </c>
      <c r="I224" s="37"/>
      <c r="J224" s="32" t="str">
        <f t="shared" si="32"/>
        <v>KG</v>
      </c>
      <c r="K224" s="37" t="str">
        <f>VLOOKUP(H224,'Full Item list'!B:O,14,0)</f>
        <v>KG</v>
      </c>
      <c r="L224" s="37"/>
      <c r="M224" s="22" t="e">
        <f>O224/P224</f>
        <v>#DIV/0!</v>
      </c>
      <c r="N224" s="22" t="e">
        <f>VLOOKUP(B224,#REF!,9,0)</f>
        <v>#REF!</v>
      </c>
      <c r="O224">
        <f>IFERROR(IF(J224="KG",VLOOKUP(H224,'Cost Price New'!D:E,2,0),VLOOKUP('BOMs setting'!H224,'Cost Price New'!D:I,6,0)),VLOOKUP(H224,A:R,18,0))</f>
        <v>4.3E-3</v>
      </c>
      <c r="Q224">
        <v>1</v>
      </c>
      <c r="V224" t="s">
        <v>603</v>
      </c>
      <c r="W224" s="135" t="s">
        <v>604</v>
      </c>
      <c r="AA224" t="str">
        <f>IFERROR(VLOOKUP(A224,'Capacity of production'!A:C,3,0),"")</f>
        <v/>
      </c>
    </row>
    <row r="225" spans="1:27" ht="15.75" thickBot="1">
      <c r="B225" s="41" t="s">
        <v>311</v>
      </c>
      <c r="C225" s="42" t="s">
        <v>313</v>
      </c>
      <c r="D225" s="284">
        <f>I221/AA221</f>
        <v>0.33333333333333331</v>
      </c>
      <c r="E225" s="31">
        <f>O225*D225</f>
        <v>163.68874679708699</v>
      </c>
      <c r="F225" s="45" t="s">
        <v>782</v>
      </c>
      <c r="G225" s="32"/>
      <c r="H225" s="32" t="str">
        <f>VLOOKUP(B225,'Full Item list'!A:B,2,0)</f>
        <v>LAB/OH-Resin</v>
      </c>
      <c r="I225" s="32"/>
      <c r="J225" s="32" t="str">
        <f t="shared" si="32"/>
        <v>H</v>
      </c>
      <c r="K225" s="32" t="str">
        <f>VLOOKUP(H225,'Full Item list'!B:O,14,0)</f>
        <v>H</v>
      </c>
      <c r="L225" s="32"/>
      <c r="O225">
        <f>IFERROR(IF(J225="KG",VLOOKUP(H225,'Cost Price New'!D:E,2,0),VLOOKUP('BOMs setting'!H225,'Cost Price New'!D:I,6,0)),VLOOKUP(H225,A:R,18,0))</f>
        <v>491.06624039126103</v>
      </c>
      <c r="V225" t="s">
        <v>603</v>
      </c>
      <c r="W225" s="135" t="s">
        <v>604</v>
      </c>
      <c r="AA225" t="str">
        <f>IFERROR(VLOOKUP(A225,'Capacity of production'!A:C,3,0),"")</f>
        <v/>
      </c>
    </row>
    <row r="226" spans="1:27" ht="15">
      <c r="B226" s="54"/>
      <c r="C226" s="55"/>
      <c r="D226" s="56"/>
      <c r="E226" s="56" t="s">
        <v>466</v>
      </c>
      <c r="F226" s="56">
        <f>SUM(E223:E225)</f>
        <v>359.46289879708695</v>
      </c>
      <c r="G226" s="55"/>
      <c r="H226" s="55"/>
      <c r="I226" s="55"/>
      <c r="J226" s="55"/>
      <c r="K226" s="55"/>
      <c r="L226" s="55"/>
      <c r="V226" t="s">
        <v>603</v>
      </c>
      <c r="W226" s="135" t="s">
        <v>604</v>
      </c>
      <c r="AA226" t="str">
        <f>IFERROR(VLOOKUP(A226,'Capacity of production'!A:C,3,0),"")</f>
        <v/>
      </c>
    </row>
    <row r="227" spans="1:27" ht="15.75" thickBot="1">
      <c r="B227" s="54"/>
      <c r="C227" s="55"/>
      <c r="D227" s="56"/>
      <c r="E227" s="56"/>
      <c r="F227" s="55"/>
      <c r="G227" s="55"/>
      <c r="H227" s="55"/>
      <c r="I227" s="55"/>
      <c r="J227" s="55"/>
      <c r="K227" s="55"/>
      <c r="L227" s="55"/>
      <c r="V227" t="s">
        <v>603</v>
      </c>
      <c r="W227" s="135" t="s">
        <v>604</v>
      </c>
      <c r="AA227" t="str">
        <f>IFERROR(VLOOKUP(A227,'Capacity of production'!A:C,3,0),"")</f>
        <v/>
      </c>
    </row>
    <row r="228" spans="1:27" ht="16.5" thickBot="1">
      <c r="A228" s="103" t="s">
        <v>104</v>
      </c>
      <c r="B228" s="66" t="s">
        <v>104</v>
      </c>
      <c r="C228" s="288" t="str">
        <f>VLOOKUP(A228,'All products'!A:B,2,0)</f>
        <v>TECNODIL-R (5L)</v>
      </c>
      <c r="D228" s="288"/>
      <c r="E228" s="288"/>
      <c r="F228" s="289"/>
      <c r="G228" s="21">
        <v>1</v>
      </c>
      <c r="H228" s="21" t="str">
        <f>VLOOKUP(B228,'Full Item list'!A:B,2,0)</f>
        <v>DI006C</v>
      </c>
      <c r="I228" s="21">
        <f>VLOOKUP(H228,'Full Item list'!B:J,9,0)</f>
        <v>4.3499999999999996</v>
      </c>
      <c r="J228" s="21"/>
      <c r="K228" s="21" t="str">
        <f>VLOOKUP(H228,'Full Item list'!B:O,14,0)</f>
        <v>PCS</v>
      </c>
      <c r="L228" s="21"/>
      <c r="M228">
        <f>O228/P228</f>
        <v>0</v>
      </c>
      <c r="N228" t="e">
        <f>VLOOKUP(B228,#REF!,9,0)</f>
        <v>#REF!</v>
      </c>
      <c r="P228">
        <v>4.3499999999999996</v>
      </c>
      <c r="R228">
        <f ca="1">OFFSET(F228,MATCH("Total Cost:",E228:E283,0)-1,0,1,1)/G228</f>
        <v>21.526398058793781</v>
      </c>
      <c r="U228" t="str">
        <f>VLOOKUP(H228,'Full Item list'!B:D,3,0)</f>
        <v>Product</v>
      </c>
      <c r="V228" t="s">
        <v>603</v>
      </c>
      <c r="W228" s="135" t="s">
        <v>604</v>
      </c>
      <c r="X228" t="s">
        <v>606</v>
      </c>
      <c r="AA228">
        <f>IFERROR(VLOOKUP(A228,'Capacity of production'!A:C,3,0),"")</f>
        <v>131</v>
      </c>
    </row>
    <row r="229" spans="1:27" ht="15" thickBot="1">
      <c r="B229" s="23" t="s">
        <v>319</v>
      </c>
      <c r="C229" s="24" t="s">
        <v>320</v>
      </c>
      <c r="D229" s="25" t="s">
        <v>321</v>
      </c>
      <c r="E229" s="25" t="s">
        <v>322</v>
      </c>
      <c r="F229" s="26" t="s">
        <v>323</v>
      </c>
      <c r="G229" s="27"/>
      <c r="H229" s="27" t="e">
        <f>VLOOKUP(B229,'Full Item list'!A:B,2,0)</f>
        <v>#N/A</v>
      </c>
      <c r="I229" s="27"/>
      <c r="J229" s="27"/>
      <c r="K229" s="27" t="e">
        <f>VLOOKUP(H229,'Full Item list'!B:O,14,0)</f>
        <v>#N/A</v>
      </c>
      <c r="L229" s="27"/>
      <c r="V229" t="s">
        <v>603</v>
      </c>
      <c r="W229" s="135" t="s">
        <v>604</v>
      </c>
      <c r="AA229" t="str">
        <f>IFERROR(VLOOKUP(A229,'Capacity of production'!A:C,3,0),"")</f>
        <v/>
      </c>
    </row>
    <row r="230" spans="1:27" ht="15.75" thickBot="1">
      <c r="B230" s="41" t="s">
        <v>345</v>
      </c>
      <c r="C230" s="42" t="s">
        <v>258</v>
      </c>
      <c r="D230" s="43">
        <v>4.3499999999999996</v>
      </c>
      <c r="E230" s="31">
        <f>O230*D230</f>
        <v>5.22</v>
      </c>
      <c r="F230" s="45"/>
      <c r="G230" s="32"/>
      <c r="H230" s="32" t="str">
        <f>VLOOKUP(B230,'Full Item list'!A:B,2,0)</f>
        <v>SV-390</v>
      </c>
      <c r="I230" s="32"/>
      <c r="J230" s="32" t="str">
        <f t="shared" ref="J230:J231" si="33">K230</f>
        <v>KG</v>
      </c>
      <c r="K230" s="32" t="str">
        <f>VLOOKUP(H230,'Full Item list'!B:O,14,0)</f>
        <v>KG</v>
      </c>
      <c r="L230" s="32"/>
      <c r="M230">
        <f>O230/P230</f>
        <v>1.3793103448275861E-3</v>
      </c>
      <c r="N230" t="e">
        <f>VLOOKUP(B230,#REF!,9,0)</f>
        <v>#REF!</v>
      </c>
      <c r="O230">
        <f>IFERROR(IF(J230="KG",VLOOKUP(H230,'Cost Price New'!D:E,2,0),VLOOKUP('BOMs setting'!H230,'Cost Price New'!D:I,6,0)),VLOOKUP(H230,A:R,18,0))</f>
        <v>1.2</v>
      </c>
      <c r="P230">
        <f>(4.35 * 1000)/5</f>
        <v>870</v>
      </c>
      <c r="Q230">
        <v>1</v>
      </c>
      <c r="V230" t="s">
        <v>603</v>
      </c>
      <c r="W230" s="135" t="s">
        <v>604</v>
      </c>
      <c r="AA230" t="str">
        <f>IFERROR(VLOOKUP(A230,'Capacity of production'!A:C,3,0),"")</f>
        <v/>
      </c>
    </row>
    <row r="231" spans="1:27" ht="15.75" thickBot="1">
      <c r="B231" s="41" t="s">
        <v>311</v>
      </c>
      <c r="C231" s="42" t="s">
        <v>313</v>
      </c>
      <c r="D231" s="284">
        <f>I228/AA228</f>
        <v>3.3206106870229006E-2</v>
      </c>
      <c r="E231" s="31">
        <f>O231*D231</f>
        <v>16.306398058793782</v>
      </c>
      <c r="F231" s="45" t="s">
        <v>782</v>
      </c>
      <c r="G231" s="32"/>
      <c r="H231" s="32" t="str">
        <f>VLOOKUP(B231,'Full Item list'!A:B,2,0)</f>
        <v>LAB/OH-Resin</v>
      </c>
      <c r="I231" s="32"/>
      <c r="J231" s="32" t="str">
        <f t="shared" si="33"/>
        <v>H</v>
      </c>
      <c r="K231" s="32" t="str">
        <f>VLOOKUP(H231,'Full Item list'!B:O,14,0)</f>
        <v>H</v>
      </c>
      <c r="L231" s="32"/>
      <c r="O231">
        <f>IFERROR(IF(J231="KG",VLOOKUP(H231,'Cost Price New'!D:E,2,0),VLOOKUP('BOMs setting'!H231,'Cost Price New'!D:I,6,0)),VLOOKUP(H231,A:R,18,0))</f>
        <v>491.06624039126103</v>
      </c>
      <c r="V231" t="s">
        <v>603</v>
      </c>
      <c r="W231" s="135" t="s">
        <v>604</v>
      </c>
      <c r="AA231" t="str">
        <f>IFERROR(VLOOKUP(A231,'Capacity of production'!A:C,3,0),"")</f>
        <v/>
      </c>
    </row>
    <row r="232" spans="1:27" ht="15">
      <c r="B232" s="54"/>
      <c r="C232" s="55"/>
      <c r="D232" s="56"/>
      <c r="E232" s="56" t="s">
        <v>466</v>
      </c>
      <c r="F232" s="56">
        <f>SUM(E229:E231)</f>
        <v>21.526398058793781</v>
      </c>
      <c r="G232" s="55"/>
      <c r="H232" s="55"/>
      <c r="I232" s="55"/>
      <c r="J232" s="55"/>
      <c r="K232" s="55"/>
      <c r="L232" s="55"/>
      <c r="V232" t="s">
        <v>603</v>
      </c>
      <c r="W232" s="135" t="s">
        <v>604</v>
      </c>
      <c r="AA232" t="str">
        <f>IFERROR(VLOOKUP(A232,'Capacity of production'!A:C,3,0),"")</f>
        <v/>
      </c>
    </row>
    <row r="233" spans="1:27" ht="15.75" thickBot="1">
      <c r="B233" s="54"/>
      <c r="C233" s="55"/>
      <c r="D233" s="56"/>
      <c r="E233" s="56"/>
      <c r="F233" s="55"/>
      <c r="G233" s="55"/>
      <c r="H233" s="55"/>
      <c r="I233" s="55"/>
      <c r="J233" s="55"/>
      <c r="K233" s="55"/>
      <c r="L233" s="55"/>
      <c r="V233" t="s">
        <v>603</v>
      </c>
      <c r="W233" s="135" t="s">
        <v>604</v>
      </c>
      <c r="AA233" t="str">
        <f>IFERROR(VLOOKUP(A233,'Capacity of production'!A:C,3,0),"")</f>
        <v/>
      </c>
    </row>
    <row r="234" spans="1:27" ht="16.5" thickBot="1">
      <c r="A234" s="102" t="s">
        <v>105</v>
      </c>
      <c r="B234" s="66" t="s">
        <v>105</v>
      </c>
      <c r="C234" s="288" t="str">
        <f>VLOOKUP(A234,'All products'!A:B,2,0)</f>
        <v>TECNODIL-R (10L)</v>
      </c>
      <c r="D234" s="288"/>
      <c r="E234" s="288"/>
      <c r="F234" s="289"/>
      <c r="G234" s="21">
        <v>1</v>
      </c>
      <c r="H234" s="21" t="str">
        <f>VLOOKUP(B234,'Full Item list'!A:B,2,0)</f>
        <v>DI008C</v>
      </c>
      <c r="I234" s="21">
        <f>VLOOKUP(H234,'Full Item list'!B:J,9,0)</f>
        <v>8.6999999999999993</v>
      </c>
      <c r="J234" s="21"/>
      <c r="K234" s="21" t="str">
        <f>VLOOKUP(H234,'Full Item list'!B:O,14,0)</f>
        <v>PCS</v>
      </c>
      <c r="L234" s="21"/>
      <c r="M234">
        <f>O234/P234</f>
        <v>0</v>
      </c>
      <c r="N234" t="e">
        <f>VLOOKUP(B234,#REF!,9,0)</f>
        <v>#REF!</v>
      </c>
      <c r="P234">
        <v>8.6999999999999993</v>
      </c>
      <c r="R234">
        <f ca="1">OFFSET(F234,MATCH("Total Cost:",E234:E289,0)-1,0,1,1)/G234</f>
        <v>34.853007379451263</v>
      </c>
      <c r="U234" t="str">
        <f>VLOOKUP(H234,'Full Item list'!B:D,3,0)</f>
        <v>Product</v>
      </c>
      <c r="V234" t="s">
        <v>603</v>
      </c>
      <c r="W234" s="135" t="s">
        <v>604</v>
      </c>
      <c r="X234" t="s">
        <v>606</v>
      </c>
      <c r="AA234">
        <f>IFERROR(VLOOKUP(A234,'Capacity of production'!A:C,3,0),"")</f>
        <v>175</v>
      </c>
    </row>
    <row r="235" spans="1:27" ht="15" thickBot="1">
      <c r="B235" s="23" t="s">
        <v>319</v>
      </c>
      <c r="C235" s="24" t="s">
        <v>320</v>
      </c>
      <c r="D235" s="25" t="s">
        <v>321</v>
      </c>
      <c r="E235" s="25" t="s">
        <v>322</v>
      </c>
      <c r="F235" s="26" t="s">
        <v>323</v>
      </c>
      <c r="G235" s="27"/>
      <c r="H235" s="27" t="e">
        <f>VLOOKUP(B235,'Full Item list'!A:B,2,0)</f>
        <v>#N/A</v>
      </c>
      <c r="I235" s="27"/>
      <c r="J235" s="27"/>
      <c r="K235" s="27" t="e">
        <f>VLOOKUP(H235,'Full Item list'!B:O,14,0)</f>
        <v>#N/A</v>
      </c>
      <c r="L235" s="27"/>
      <c r="V235" t="s">
        <v>603</v>
      </c>
      <c r="W235" s="135" t="s">
        <v>604</v>
      </c>
      <c r="AA235" t="str">
        <f>IFERROR(VLOOKUP(A235,'Capacity of production'!A:C,3,0),"")</f>
        <v/>
      </c>
    </row>
    <row r="236" spans="1:27" ht="15.75" thickBot="1">
      <c r="B236" s="41" t="s">
        <v>345</v>
      </c>
      <c r="C236" s="42" t="s">
        <v>258</v>
      </c>
      <c r="D236" s="43">
        <v>8.6999999999999993</v>
      </c>
      <c r="E236" s="31">
        <f>O236*D236</f>
        <v>10.44</v>
      </c>
      <c r="F236" s="45"/>
      <c r="G236" s="32"/>
      <c r="H236" s="32" t="str">
        <f>VLOOKUP(B236,'Full Item list'!A:B,2,0)</f>
        <v>SV-390</v>
      </c>
      <c r="I236" s="32"/>
      <c r="J236" s="32" t="str">
        <f t="shared" ref="J236:J237" si="34">K236</f>
        <v>KG</v>
      </c>
      <c r="K236" s="32" t="str">
        <f>VLOOKUP(H236,'Full Item list'!B:O,14,0)</f>
        <v>KG</v>
      </c>
      <c r="L236" s="32"/>
      <c r="M236">
        <f>O236/P236</f>
        <v>1.3793103448275863E-3</v>
      </c>
      <c r="N236" t="e">
        <f>VLOOKUP(B236,#REF!,9,0)</f>
        <v>#REF!</v>
      </c>
      <c r="O236">
        <f>IFERROR(IF(J236="KG",VLOOKUP(H236,'Cost Price New'!D:E,2,0),VLOOKUP('BOMs setting'!H236,'Cost Price New'!D:I,6,0)),VLOOKUP(H236,A:R,18,0))</f>
        <v>1.2</v>
      </c>
      <c r="P236">
        <f>8.7*100</f>
        <v>869.99999999999989</v>
      </c>
      <c r="Q236">
        <v>1</v>
      </c>
      <c r="V236" t="s">
        <v>603</v>
      </c>
      <c r="W236" s="135" t="s">
        <v>604</v>
      </c>
      <c r="AA236" t="str">
        <f>IFERROR(VLOOKUP(A236,'Capacity of production'!A:C,3,0),"")</f>
        <v/>
      </c>
    </row>
    <row r="237" spans="1:27" ht="15.75" thickBot="1">
      <c r="B237" s="41" t="s">
        <v>311</v>
      </c>
      <c r="C237" s="42" t="s">
        <v>313</v>
      </c>
      <c r="D237" s="284">
        <f>I234/AA234</f>
        <v>4.9714285714285711E-2</v>
      </c>
      <c r="E237" s="31">
        <f>O237*D237</f>
        <v>24.413007379451262</v>
      </c>
      <c r="F237" s="45" t="s">
        <v>782</v>
      </c>
      <c r="G237" s="32"/>
      <c r="H237" s="32" t="str">
        <f>VLOOKUP(B237,'Full Item list'!A:B,2,0)</f>
        <v>LAB/OH-Resin</v>
      </c>
      <c r="I237" s="32"/>
      <c r="J237" s="32" t="str">
        <f t="shared" si="34"/>
        <v>H</v>
      </c>
      <c r="K237" s="32" t="str">
        <f>VLOOKUP(H237,'Full Item list'!B:O,14,0)</f>
        <v>H</v>
      </c>
      <c r="L237" s="32"/>
      <c r="O237">
        <f>IFERROR(IF(J237="KG",VLOOKUP(H237,'Cost Price New'!D:E,2,0),VLOOKUP('BOMs setting'!H237,'Cost Price New'!D:I,6,0)),VLOOKUP(H237,A:R,18,0))</f>
        <v>491.06624039126103</v>
      </c>
      <c r="V237" t="s">
        <v>603</v>
      </c>
      <c r="W237" s="135" t="s">
        <v>604</v>
      </c>
      <c r="AA237" t="str">
        <f>IFERROR(VLOOKUP(A237,'Capacity of production'!A:C,3,0),"")</f>
        <v/>
      </c>
    </row>
    <row r="238" spans="1:27" ht="15">
      <c r="B238" s="54"/>
      <c r="C238" s="55"/>
      <c r="D238" s="56"/>
      <c r="E238" s="56" t="s">
        <v>466</v>
      </c>
      <c r="F238" s="56">
        <f>SUM(E235:E237)</f>
        <v>34.853007379451263</v>
      </c>
      <c r="G238" s="55"/>
      <c r="H238" s="55"/>
      <c r="I238" s="55"/>
      <c r="J238" s="55"/>
      <c r="K238" s="55"/>
      <c r="L238" s="55"/>
      <c r="V238" t="s">
        <v>603</v>
      </c>
      <c r="W238" s="135" t="s">
        <v>604</v>
      </c>
      <c r="AA238" t="str">
        <f>IFERROR(VLOOKUP(A238,'Capacity of production'!A:C,3,0),"")</f>
        <v/>
      </c>
    </row>
    <row r="239" spans="1:27" ht="15.75" thickBot="1">
      <c r="B239" s="54"/>
      <c r="C239" s="55"/>
      <c r="D239" s="56"/>
      <c r="E239" s="56"/>
      <c r="F239" s="55"/>
      <c r="G239" s="55"/>
      <c r="H239" s="55"/>
      <c r="I239" s="55"/>
      <c r="J239" s="55"/>
      <c r="K239" s="55"/>
      <c r="L239" s="55"/>
      <c r="V239" t="s">
        <v>603</v>
      </c>
      <c r="W239" s="135" t="s">
        <v>604</v>
      </c>
      <c r="AA239" t="str">
        <f>IFERROR(VLOOKUP(A239,'Capacity of production'!A:C,3,0),"")</f>
        <v/>
      </c>
    </row>
    <row r="240" spans="1:27" ht="16.5" thickBot="1">
      <c r="A240" t="str">
        <f>B240</f>
        <v>DI010C</v>
      </c>
      <c r="B240" s="66" t="s">
        <v>106</v>
      </c>
      <c r="C240" s="288" t="str">
        <f>VLOOKUP(A240,'All products'!A:B,2,0)</f>
        <v>TECNODIL-R (25L)</v>
      </c>
      <c r="D240" s="288"/>
      <c r="E240" s="288"/>
      <c r="F240" s="289"/>
      <c r="G240" s="21">
        <v>1</v>
      </c>
      <c r="H240" s="21" t="str">
        <f>VLOOKUP(B240,'Full Item list'!A:B,2,0)</f>
        <v>DI010C</v>
      </c>
      <c r="I240" s="21">
        <f>VLOOKUP(H240,'Full Item list'!B:J,9,0)</f>
        <v>21.75</v>
      </c>
      <c r="J240" s="21"/>
      <c r="K240" s="21" t="str">
        <f>VLOOKUP(H240,'Full Item list'!B:O,14,0)</f>
        <v>PCS</v>
      </c>
      <c r="L240" s="21"/>
      <c r="M240">
        <f>O240/P240</f>
        <v>0</v>
      </c>
      <c r="N240" t="e">
        <f>VLOOKUP(B240,#REF!,9,0)</f>
        <v>#REF!</v>
      </c>
      <c r="P240">
        <v>25</v>
      </c>
      <c r="R240">
        <f ca="1">OFFSET(F240,MATCH("Total Cost:",E240:E300,0)-1,0,1,1)/G240</f>
        <v>67.022186699271742</v>
      </c>
      <c r="U240" t="str">
        <f>VLOOKUP(H240,'Full Item list'!B:D,3,0)</f>
        <v>Product</v>
      </c>
      <c r="V240" t="s">
        <v>603</v>
      </c>
      <c r="W240" s="135" t="s">
        <v>604</v>
      </c>
      <c r="X240" t="s">
        <v>606</v>
      </c>
      <c r="AA240">
        <f>IFERROR(VLOOKUP(A240,'Capacity of production'!A:C,3,0),"")</f>
        <v>261</v>
      </c>
    </row>
    <row r="241" spans="1:27" ht="15" thickBot="1">
      <c r="B241" s="23" t="s">
        <v>319</v>
      </c>
      <c r="C241" s="24" t="s">
        <v>320</v>
      </c>
      <c r="D241" s="25" t="s">
        <v>321</v>
      </c>
      <c r="E241" s="25" t="s">
        <v>322</v>
      </c>
      <c r="F241" s="26" t="s">
        <v>323</v>
      </c>
      <c r="G241" s="27"/>
      <c r="H241" s="27"/>
      <c r="I241" s="27"/>
      <c r="J241" s="27"/>
      <c r="K241" s="27"/>
      <c r="L241" s="27"/>
      <c r="V241" t="s">
        <v>603</v>
      </c>
      <c r="W241" s="135" t="s">
        <v>604</v>
      </c>
      <c r="AA241" t="str">
        <f>IFERROR(VLOOKUP(A241,'Capacity of production'!A:C,3,0),"")</f>
        <v/>
      </c>
    </row>
    <row r="242" spans="1:27" ht="15.75" thickBot="1">
      <c r="B242" s="41" t="s">
        <v>345</v>
      </c>
      <c r="C242" s="42" t="s">
        <v>258</v>
      </c>
      <c r="D242" s="43">
        <v>21.75</v>
      </c>
      <c r="E242" s="31">
        <f>O242*D242</f>
        <v>26.099999999999998</v>
      </c>
      <c r="F242" s="45"/>
      <c r="G242" s="32"/>
      <c r="H242" s="32" t="str">
        <f>VLOOKUP(B242,'Full Item list'!A:B,2,0)</f>
        <v>SV-390</v>
      </c>
      <c r="I242" s="32"/>
      <c r="J242" s="32" t="str">
        <f t="shared" ref="J242:J243" si="35">K242</f>
        <v>KG</v>
      </c>
      <c r="K242" s="32" t="str">
        <f>VLOOKUP(H242,'Full Item list'!B:O,14,0)</f>
        <v>KG</v>
      </c>
      <c r="L242" s="32"/>
      <c r="M242">
        <f>O242/P242</f>
        <v>1.3793103448275863E-3</v>
      </c>
      <c r="N242" t="e">
        <f>VLOOKUP(B242,#REF!,9,0)</f>
        <v>#REF!</v>
      </c>
      <c r="O242">
        <f>IFERROR(IF(J242="KG",VLOOKUP(H242,'Cost Price New'!D:E,2,0),VLOOKUP('BOMs setting'!H242,'Cost Price New'!D:I,6,0)),VLOOKUP(H242,A:R,18,0))</f>
        <v>1.2</v>
      </c>
      <c r="P242">
        <f>8.7*100</f>
        <v>869.99999999999989</v>
      </c>
      <c r="Q242">
        <v>1</v>
      </c>
      <c r="V242" t="s">
        <v>603</v>
      </c>
      <c r="W242" s="135" t="s">
        <v>604</v>
      </c>
      <c r="AA242" t="str">
        <f>IFERROR(VLOOKUP(A242,'Capacity of production'!A:C,3,0),"")</f>
        <v/>
      </c>
    </row>
    <row r="243" spans="1:27" ht="15.75" thickBot="1">
      <c r="B243" s="41" t="s">
        <v>311</v>
      </c>
      <c r="C243" s="42" t="s">
        <v>313</v>
      </c>
      <c r="D243" s="284">
        <f>I240/AA240</f>
        <v>8.3333333333333329E-2</v>
      </c>
      <c r="E243" s="31">
        <f>O243*D243</f>
        <v>40.922186699271748</v>
      </c>
      <c r="F243" s="45" t="s">
        <v>782</v>
      </c>
      <c r="G243" s="32"/>
      <c r="H243" s="32" t="str">
        <f>VLOOKUP(B243,'Full Item list'!A:B,2,0)</f>
        <v>LAB/OH-Resin</v>
      </c>
      <c r="I243" s="32"/>
      <c r="J243" s="32" t="str">
        <f t="shared" si="35"/>
        <v>H</v>
      </c>
      <c r="K243" s="32" t="str">
        <f>VLOOKUP(H243,'Full Item list'!B:O,14,0)</f>
        <v>H</v>
      </c>
      <c r="L243" s="32"/>
      <c r="O243">
        <f>IFERROR(IF(J243="KG",VLOOKUP(H243,'Cost Price New'!D:E,2,0),VLOOKUP('BOMs setting'!H243,'Cost Price New'!D:I,6,0)),VLOOKUP(H243,A:R,18,0))</f>
        <v>491.06624039126103</v>
      </c>
      <c r="V243" t="s">
        <v>603</v>
      </c>
      <c r="W243" s="135" t="s">
        <v>604</v>
      </c>
      <c r="AA243" t="str">
        <f>IFERROR(VLOOKUP(A243,'Capacity of production'!A:C,3,0),"")</f>
        <v/>
      </c>
    </row>
    <row r="244" spans="1:27" ht="15">
      <c r="B244" s="54"/>
      <c r="C244" s="55"/>
      <c r="D244" s="56"/>
      <c r="E244" s="56" t="s">
        <v>466</v>
      </c>
      <c r="F244" s="56">
        <f>SUM(E241:E243)</f>
        <v>67.022186699271742</v>
      </c>
      <c r="G244" s="55"/>
      <c r="H244" s="55"/>
      <c r="I244" s="55"/>
      <c r="J244" s="55"/>
      <c r="K244" s="55"/>
      <c r="L244" s="55"/>
      <c r="V244" t="s">
        <v>603</v>
      </c>
      <c r="W244" s="135" t="s">
        <v>604</v>
      </c>
      <c r="AA244" t="str">
        <f>IFERROR(VLOOKUP(A244,'Capacity of production'!A:C,3,0),"")</f>
        <v/>
      </c>
    </row>
    <row r="245" spans="1:27" ht="15.75" thickBot="1">
      <c r="B245" s="54"/>
      <c r="C245" s="55"/>
      <c r="D245" s="56"/>
      <c r="E245" s="56"/>
      <c r="F245" s="55"/>
      <c r="G245" s="55"/>
      <c r="H245" s="55"/>
      <c r="I245" s="55"/>
      <c r="J245" s="55"/>
      <c r="K245" s="55"/>
      <c r="L245" s="55"/>
      <c r="V245" t="s">
        <v>603</v>
      </c>
      <c r="W245" s="135" t="s">
        <v>604</v>
      </c>
      <c r="AA245" t="str">
        <f>IFERROR(VLOOKUP(A245,'Capacity of production'!A:C,3,0),"")</f>
        <v/>
      </c>
    </row>
    <row r="246" spans="1:27" ht="16.5" customHeight="1" thickBot="1">
      <c r="A246" t="str">
        <f>B246</f>
        <v>RE314F</v>
      </c>
      <c r="B246" s="66" t="s">
        <v>225</v>
      </c>
      <c r="C246" s="288" t="str">
        <f>VLOOKUP(A246,'All products'!A:B,2,0)</f>
        <v>AGENTE TIXOTRÓPICO (10KG)</v>
      </c>
      <c r="D246" s="288"/>
      <c r="E246" s="288"/>
      <c r="F246" s="289"/>
      <c r="G246" s="21">
        <v>1</v>
      </c>
      <c r="H246" s="21" t="str">
        <f>VLOOKUP(B246,'Full Item list'!A:B,2,0)</f>
        <v>RE314F</v>
      </c>
      <c r="I246" s="21">
        <f>VLOOKUP(H246,'Full Item list'!B:J,9,0)</f>
        <v>10</v>
      </c>
      <c r="J246" s="21"/>
      <c r="K246" s="21" t="str">
        <f>VLOOKUP(H246,'Full Item list'!B:O,14,0)</f>
        <v>PCS</v>
      </c>
      <c r="L246" s="21"/>
      <c r="M246">
        <f>O246/P246</f>
        <v>0</v>
      </c>
      <c r="N246" t="e">
        <f>VLOOKUP(B246,#REF!,9,0)</f>
        <v>#REF!</v>
      </c>
      <c r="P246">
        <v>10</v>
      </c>
      <c r="R246">
        <f ca="1">OFFSET(F246,MATCH("Total Cost:",E246:E311,0)-1,0,1,1)/G246</f>
        <v>20.587649615650442</v>
      </c>
      <c r="U246" t="str">
        <f>VLOOKUP(H246,'Full Item list'!B:D,3,0)</f>
        <v>Product</v>
      </c>
      <c r="V246" t="s">
        <v>603</v>
      </c>
      <c r="W246" s="135" t="s">
        <v>604</v>
      </c>
      <c r="X246" t="s">
        <v>606</v>
      </c>
      <c r="AA246">
        <f>IFERROR(VLOOKUP(A246,'Capacity of production'!A:C,3,0),"")</f>
        <v>250</v>
      </c>
    </row>
    <row r="247" spans="1:27" ht="15" thickBot="1">
      <c r="B247" s="23" t="s">
        <v>319</v>
      </c>
      <c r="C247" s="24" t="s">
        <v>320</v>
      </c>
      <c r="D247" s="25" t="s">
        <v>321</v>
      </c>
      <c r="E247" s="25" t="s">
        <v>322</v>
      </c>
      <c r="F247" s="26" t="s">
        <v>323</v>
      </c>
      <c r="G247" s="27"/>
      <c r="H247" s="27"/>
      <c r="I247" s="27"/>
      <c r="J247" s="27"/>
      <c r="K247" s="27"/>
      <c r="L247" s="27"/>
      <c r="V247" t="s">
        <v>603</v>
      </c>
      <c r="W247" s="135" t="s">
        <v>604</v>
      </c>
      <c r="AA247" t="str">
        <f>IFERROR(VLOOKUP(A247,'Capacity of production'!A:C,3,0),"")</f>
        <v/>
      </c>
    </row>
    <row r="248" spans="1:27" ht="15.75" thickBot="1">
      <c r="B248" s="41" t="s">
        <v>331</v>
      </c>
      <c r="C248" s="42" t="s">
        <v>346</v>
      </c>
      <c r="D248" s="43">
        <v>10</v>
      </c>
      <c r="E248" s="31">
        <f>O248*D248</f>
        <v>0.94500000000000006</v>
      </c>
      <c r="F248" s="45"/>
      <c r="G248" s="32"/>
      <c r="H248" s="32" t="str">
        <f>VLOOKUP(B248,'Full Item list'!A:B,2,0)</f>
        <v>TS-440</v>
      </c>
      <c r="I248" s="32"/>
      <c r="J248" s="32" t="str">
        <f t="shared" ref="J248:J249" si="36">K248</f>
        <v>KG</v>
      </c>
      <c r="K248" s="32" t="str">
        <f>VLOOKUP(H248,'Full Item list'!B:O,14,0)</f>
        <v>KG</v>
      </c>
      <c r="L248" s="32"/>
      <c r="M248">
        <f>O248/P248</f>
        <v>3.7799999999999999E-3</v>
      </c>
      <c r="N248" t="e">
        <f>VLOOKUP(B248,#REF!,9,0)</f>
        <v>#REF!</v>
      </c>
      <c r="O248">
        <f>IFERROR(IF(J248="KG",VLOOKUP(H248,'Cost Price New'!D:E,2,0),VLOOKUP('BOMs setting'!H248,'Cost Price New'!D:I,6,0)),VLOOKUP(H248,A:R,18,0))</f>
        <v>9.4500000000000001E-2</v>
      </c>
      <c r="P248">
        <v>25</v>
      </c>
      <c r="Q248">
        <v>1</v>
      </c>
      <c r="V248" t="s">
        <v>603</v>
      </c>
      <c r="W248" s="135" t="s">
        <v>604</v>
      </c>
      <c r="AA248" t="str">
        <f>IFERROR(VLOOKUP(A248,'Capacity of production'!A:C,3,0),"")</f>
        <v/>
      </c>
    </row>
    <row r="249" spans="1:27" ht="15.75" thickBot="1">
      <c r="B249" s="41" t="s">
        <v>311</v>
      </c>
      <c r="C249" s="42" t="s">
        <v>313</v>
      </c>
      <c r="D249" s="284">
        <f>I246/AA246</f>
        <v>0.04</v>
      </c>
      <c r="E249" s="31">
        <f>O249*D249</f>
        <v>19.642649615650441</v>
      </c>
      <c r="F249" s="45" t="s">
        <v>782</v>
      </c>
      <c r="G249" s="32"/>
      <c r="H249" s="32" t="str">
        <f>VLOOKUP(B249,'Full Item list'!A:B,2,0)</f>
        <v>LAB/OH-Resin</v>
      </c>
      <c r="I249" s="32"/>
      <c r="J249" s="32" t="str">
        <f t="shared" si="36"/>
        <v>H</v>
      </c>
      <c r="K249" s="32" t="str">
        <f>VLOOKUP(H249,'Full Item list'!B:O,14,0)</f>
        <v>H</v>
      </c>
      <c r="L249" s="32"/>
      <c r="O249">
        <f>IFERROR(IF(J249="KG",VLOOKUP(H249,'Cost Price New'!D:E,2,0),VLOOKUP('BOMs setting'!H249,'Cost Price New'!D:I,6,0)),VLOOKUP(H249,A:R,18,0))</f>
        <v>491.06624039126103</v>
      </c>
      <c r="V249" t="s">
        <v>603</v>
      </c>
      <c r="W249" s="135" t="s">
        <v>604</v>
      </c>
      <c r="AA249" t="str">
        <f>IFERROR(VLOOKUP(A249,'Capacity of production'!A:C,3,0),"")</f>
        <v/>
      </c>
    </row>
    <row r="250" spans="1:27" ht="15">
      <c r="B250" s="54"/>
      <c r="C250" s="55"/>
      <c r="D250" s="56"/>
      <c r="E250" s="56" t="s">
        <v>466</v>
      </c>
      <c r="F250" s="56">
        <f>SUM(E247:E249)</f>
        <v>20.587649615650442</v>
      </c>
      <c r="G250" s="55"/>
      <c r="H250" s="55"/>
      <c r="I250" s="55"/>
      <c r="J250" s="55"/>
      <c r="K250" s="55"/>
      <c r="L250" s="55"/>
      <c r="V250" t="s">
        <v>603</v>
      </c>
      <c r="W250" s="135" t="s">
        <v>604</v>
      </c>
      <c r="AA250" t="str">
        <f>IFERROR(VLOOKUP(A250,'Capacity of production'!A:C,3,0),"")</f>
        <v/>
      </c>
    </row>
    <row r="251" spans="1:27" ht="15.75" thickBot="1">
      <c r="B251" s="54"/>
      <c r="C251" s="55"/>
      <c r="D251" s="56"/>
      <c r="E251" s="56"/>
      <c r="F251" s="55"/>
      <c r="G251" s="55"/>
      <c r="H251" s="55"/>
      <c r="I251" s="55"/>
      <c r="J251" s="55"/>
      <c r="K251" s="55"/>
      <c r="L251" s="55"/>
      <c r="V251" t="s">
        <v>603</v>
      </c>
      <c r="W251" s="135" t="s">
        <v>604</v>
      </c>
      <c r="AA251" t="str">
        <f>IFERROR(VLOOKUP(A251,'Capacity of production'!A:C,3,0),"")</f>
        <v/>
      </c>
    </row>
    <row r="252" spans="1:27" ht="16.5" customHeight="1" thickBot="1">
      <c r="A252" s="102" t="s">
        <v>226</v>
      </c>
      <c r="B252" s="66" t="s">
        <v>226</v>
      </c>
      <c r="C252" s="288" t="str">
        <f>VLOOKUP(A252,'All products'!A:B,2,0)</f>
        <v>AGENTE TIXOTRÓPICO (20KG)</v>
      </c>
      <c r="D252" s="288"/>
      <c r="E252" s="288"/>
      <c r="F252" s="289"/>
      <c r="G252" s="21">
        <v>1</v>
      </c>
      <c r="H252" s="21" t="str">
        <f>VLOOKUP(B252,'Full Item list'!A:B,2,0)</f>
        <v>RE318F</v>
      </c>
      <c r="I252" s="21">
        <f>VLOOKUP(H252,'Full Item list'!B:J,9,0)</f>
        <v>20</v>
      </c>
      <c r="J252" s="21"/>
      <c r="K252" s="21" t="str">
        <f>VLOOKUP(H252,'Full Item list'!B:O,14,0)</f>
        <v>PCS</v>
      </c>
      <c r="L252" s="21"/>
      <c r="M252">
        <f>O252/P252</f>
        <v>0</v>
      </c>
      <c r="N252" t="e">
        <f>VLOOKUP(B252,#REF!,9,0)</f>
        <v>#REF!</v>
      </c>
      <c r="P252">
        <v>20</v>
      </c>
      <c r="R252">
        <f ca="1">OFFSET(F252,MATCH("Total Cost:",E252:E317,0)-1,0,1,1)/G252</f>
        <v>11.711324807825221</v>
      </c>
      <c r="U252" t="str">
        <f>VLOOKUP(H252,'Full Item list'!B:D,3,0)</f>
        <v>Product</v>
      </c>
      <c r="V252" t="s">
        <v>603</v>
      </c>
      <c r="W252" s="135" t="s">
        <v>604</v>
      </c>
      <c r="X252" t="s">
        <v>606</v>
      </c>
      <c r="AA252">
        <f>IFERROR(VLOOKUP(A252,'Capacity of production'!A:C,3,0),"")</f>
        <v>1000</v>
      </c>
    </row>
    <row r="253" spans="1:27" ht="15" thickBot="1">
      <c r="B253" s="23" t="s">
        <v>319</v>
      </c>
      <c r="C253" s="24" t="s">
        <v>320</v>
      </c>
      <c r="D253" s="25" t="s">
        <v>321</v>
      </c>
      <c r="E253" s="25" t="s">
        <v>322</v>
      </c>
      <c r="F253" s="26" t="s">
        <v>323</v>
      </c>
      <c r="G253" s="27"/>
      <c r="H253" s="27"/>
      <c r="I253" s="27"/>
      <c r="J253" s="27"/>
      <c r="K253" s="27"/>
      <c r="L253" s="27"/>
      <c r="V253" t="s">
        <v>603</v>
      </c>
      <c r="W253" s="135" t="s">
        <v>604</v>
      </c>
      <c r="AA253" t="str">
        <f>IFERROR(VLOOKUP(A253,'Capacity of production'!A:C,3,0),"")</f>
        <v/>
      </c>
    </row>
    <row r="254" spans="1:27" ht="15.75" thickBot="1">
      <c r="B254" s="41" t="s">
        <v>331</v>
      </c>
      <c r="C254" s="42" t="s">
        <v>346</v>
      </c>
      <c r="D254" s="43">
        <v>20</v>
      </c>
      <c r="E254" s="31">
        <f>O254*D254</f>
        <v>1.8900000000000001</v>
      </c>
      <c r="F254" s="45"/>
      <c r="G254" s="32"/>
      <c r="H254" s="32" t="str">
        <f>VLOOKUP(B254,'Full Item list'!A:B,2,0)</f>
        <v>TS-440</v>
      </c>
      <c r="I254" s="32"/>
      <c r="J254" s="32" t="str">
        <f t="shared" ref="J254:J255" si="37">K254</f>
        <v>KG</v>
      </c>
      <c r="K254" s="32" t="str">
        <f>VLOOKUP(H254,'Full Item list'!B:O,14,0)</f>
        <v>KG</v>
      </c>
      <c r="L254" s="32"/>
      <c r="M254">
        <f>O254/P254</f>
        <v>3.7799999999999999E-3</v>
      </c>
      <c r="N254" t="e">
        <f>VLOOKUP(B254,#REF!,9,0)</f>
        <v>#REF!</v>
      </c>
      <c r="O254">
        <f>IFERROR(IF(J254="KG",VLOOKUP(H254,'Cost Price New'!D:E,2,0),VLOOKUP('BOMs setting'!H254,'Cost Price New'!D:I,6,0)),VLOOKUP(H254,A:R,18,0))</f>
        <v>9.4500000000000001E-2</v>
      </c>
      <c r="P254">
        <v>25</v>
      </c>
      <c r="Q254">
        <v>1</v>
      </c>
      <c r="V254" t="s">
        <v>603</v>
      </c>
      <c r="W254" s="135" t="s">
        <v>604</v>
      </c>
      <c r="AA254" t="str">
        <f>IFERROR(VLOOKUP(A254,'Capacity of production'!A:C,3,0),"")</f>
        <v/>
      </c>
    </row>
    <row r="255" spans="1:27" ht="15.75" thickBot="1">
      <c r="B255" s="41" t="s">
        <v>311</v>
      </c>
      <c r="C255" s="42" t="s">
        <v>313</v>
      </c>
      <c r="D255" s="284">
        <f>I252/AA252</f>
        <v>0.02</v>
      </c>
      <c r="E255" s="31">
        <f>O255*D255</f>
        <v>9.8213248078252207</v>
      </c>
      <c r="F255" s="45" t="s">
        <v>782</v>
      </c>
      <c r="G255" s="32"/>
      <c r="H255" s="32" t="str">
        <f>VLOOKUP(B255,'Full Item list'!A:B,2,0)</f>
        <v>LAB/OH-Resin</v>
      </c>
      <c r="I255" s="32"/>
      <c r="J255" s="32" t="str">
        <f t="shared" si="37"/>
        <v>H</v>
      </c>
      <c r="K255" s="32" t="str">
        <f>VLOOKUP(H255,'Full Item list'!B:O,14,0)</f>
        <v>H</v>
      </c>
      <c r="L255" s="32"/>
      <c r="O255">
        <f>IFERROR(IF(J255="KG",VLOOKUP(H255,'Cost Price New'!D:E,2,0),VLOOKUP('BOMs setting'!H255,'Cost Price New'!D:I,6,0)),VLOOKUP(H255,A:R,18,0))</f>
        <v>491.06624039126103</v>
      </c>
      <c r="V255" t="s">
        <v>603</v>
      </c>
      <c r="W255" s="135" t="s">
        <v>604</v>
      </c>
      <c r="AA255" t="str">
        <f>IFERROR(VLOOKUP(A255,'Capacity of production'!A:C,3,0),"")</f>
        <v/>
      </c>
    </row>
    <row r="256" spans="1:27" ht="15">
      <c r="B256" s="54"/>
      <c r="C256" s="55"/>
      <c r="D256" s="56"/>
      <c r="E256" s="56" t="s">
        <v>466</v>
      </c>
      <c r="F256" s="56">
        <f>SUM(E253:E255)</f>
        <v>11.711324807825221</v>
      </c>
      <c r="G256" s="55"/>
      <c r="H256" s="55"/>
      <c r="I256" s="55"/>
      <c r="J256" s="55"/>
      <c r="K256" s="55"/>
      <c r="L256" s="55"/>
      <c r="V256" t="s">
        <v>603</v>
      </c>
      <c r="W256" s="135" t="s">
        <v>604</v>
      </c>
      <c r="AA256" t="str">
        <f>IFERROR(VLOOKUP(A256,'Capacity of production'!A:C,3,0),"")</f>
        <v/>
      </c>
    </row>
    <row r="257" spans="1:27" ht="15.75" thickBot="1">
      <c r="B257" s="54"/>
      <c r="C257" s="55"/>
      <c r="D257" s="56"/>
      <c r="E257" s="56"/>
      <c r="F257" s="56"/>
      <c r="G257" s="55"/>
      <c r="H257" s="55"/>
      <c r="I257" s="55"/>
      <c r="J257" s="55"/>
      <c r="K257" s="55"/>
      <c r="L257" s="55"/>
      <c r="V257" t="s">
        <v>603</v>
      </c>
      <c r="W257" s="135" t="s">
        <v>604</v>
      </c>
      <c r="AA257" t="str">
        <f>IFERROR(VLOOKUP(A257,'Capacity of production'!A:C,3,0),"")</f>
        <v/>
      </c>
    </row>
    <row r="258" spans="1:27" ht="16.5" thickBot="1">
      <c r="A258" t="str">
        <f>B258</f>
        <v>MO041F</v>
      </c>
      <c r="B258" s="20" t="s">
        <v>149</v>
      </c>
      <c r="C258" s="288" t="str">
        <f>VLOOKUP(A258,'All products'!A:B,2,0)</f>
        <v>TECNOGROUT-N (25KG)</v>
      </c>
      <c r="D258" s="288"/>
      <c r="E258" s="288"/>
      <c r="F258" s="289"/>
      <c r="G258" s="21">
        <v>1</v>
      </c>
      <c r="H258" s="21" t="str">
        <f>VLOOKUP(B258,'Full Item list'!A:B,2,0)</f>
        <v>MO041F</v>
      </c>
      <c r="I258" s="21">
        <f>VLOOKUP(H258,'Full Item list'!B:J,9,0)</f>
        <v>25</v>
      </c>
      <c r="J258" s="21"/>
      <c r="K258" s="21" t="str">
        <f>VLOOKUP(H258,'Full Item list'!B:O,14,0)</f>
        <v>PCS</v>
      </c>
      <c r="L258" s="21"/>
      <c r="M258">
        <f>O258/P258</f>
        <v>0</v>
      </c>
      <c r="N258" t="e">
        <f>VLOOKUP(B258,#REF!,9,0)</f>
        <v>#REF!</v>
      </c>
      <c r="P258">
        <v>25</v>
      </c>
      <c r="Q258">
        <f>SUM(D260:D263)</f>
        <v>25</v>
      </c>
      <c r="R258">
        <f ca="1">OFFSET(F258,MATCH("Total Cost:",E258:E322,0)-1,0,1,1)/G258</f>
        <v>4.8003963172927859</v>
      </c>
      <c r="U258" t="str">
        <f>VLOOKUP(H258,'Full Item list'!B:D,3,0)</f>
        <v>Product</v>
      </c>
      <c r="V258" t="s">
        <v>603</v>
      </c>
      <c r="W258" s="135" t="s">
        <v>604</v>
      </c>
      <c r="AA258">
        <f>IFERROR(VLOOKUP(A258,'Capacity of production'!A:C,3,0),"")</f>
        <v>4000</v>
      </c>
    </row>
    <row r="259" spans="1:27" ht="15" thickBot="1">
      <c r="B259" s="23" t="s">
        <v>319</v>
      </c>
      <c r="C259" s="24" t="s">
        <v>320</v>
      </c>
      <c r="D259" s="25" t="s">
        <v>321</v>
      </c>
      <c r="E259" s="25" t="s">
        <v>322</v>
      </c>
      <c r="F259" s="26" t="s">
        <v>323</v>
      </c>
      <c r="G259" s="27"/>
      <c r="H259" s="27"/>
      <c r="I259" s="27"/>
      <c r="J259" s="27"/>
      <c r="K259" s="27"/>
      <c r="L259" s="27"/>
      <c r="V259" t="s">
        <v>603</v>
      </c>
      <c r="W259" s="135" t="s">
        <v>604</v>
      </c>
      <c r="AA259" t="str">
        <f>IFERROR(VLOOKUP(A259,'Capacity of production'!A:C,3,0),"")</f>
        <v/>
      </c>
    </row>
    <row r="260" spans="1:27" ht="15.75" thickBot="1">
      <c r="B260" s="20" t="s">
        <v>502</v>
      </c>
      <c r="C260" s="55" t="str">
        <f>VLOOKUP(B260,'All products'!A:B,2,0)</f>
        <v>TECNOGROUT-N (KG)</v>
      </c>
      <c r="D260" s="43">
        <v>25</v>
      </c>
      <c r="E260" s="31">
        <f ca="1">O260*D260</f>
        <v>4.8003963172927859</v>
      </c>
      <c r="F260" s="45"/>
      <c r="G260" s="32"/>
      <c r="H260" s="32" t="str">
        <f>VLOOKUP(B260,'Full Item list'!A:B,2,0)</f>
        <v>MO041F-1</v>
      </c>
      <c r="I260" s="32"/>
      <c r="J260" s="32" t="str">
        <f>K260</f>
        <v>KG</v>
      </c>
      <c r="K260" s="32" t="str">
        <f>VLOOKUP(H260,'Full Item list'!B:O,14,0)</f>
        <v>KG</v>
      </c>
      <c r="L260" s="32"/>
      <c r="M260">
        <f ca="1">O260/P260</f>
        <v>7.6806341076684579E-3</v>
      </c>
      <c r="N260" t="e">
        <f>VLOOKUP(B260,#REF!,9,0)</f>
        <v>#REF!</v>
      </c>
      <c r="O260">
        <f ca="1">IFERROR(IF(J260="KG",VLOOKUP(H260,'Cost Price New'!D:E,2,0),VLOOKUP('BOMs setting'!H260,'Cost Price New'!D:I,6,0)),VLOOKUP(H260,A:R,18,0))</f>
        <v>0.19201585269171145</v>
      </c>
      <c r="P260">
        <v>25</v>
      </c>
      <c r="Q260">
        <v>1</v>
      </c>
      <c r="V260" t="s">
        <v>603</v>
      </c>
      <c r="W260" s="135" t="s">
        <v>604</v>
      </c>
      <c r="AA260" t="str">
        <f>IFERROR(VLOOKUP(A260,'Capacity of production'!A:C,3,0),"")</f>
        <v/>
      </c>
    </row>
    <row r="261" spans="1:27" ht="15">
      <c r="B261" s="54"/>
      <c r="C261" s="55"/>
      <c r="D261" s="56"/>
      <c r="E261" s="56" t="s">
        <v>466</v>
      </c>
      <c r="F261" s="56">
        <f ca="1">E260</f>
        <v>4.8003963172927859</v>
      </c>
      <c r="G261" s="55"/>
      <c r="H261" s="55"/>
      <c r="I261" s="55"/>
      <c r="J261" s="55"/>
      <c r="K261" s="55"/>
      <c r="L261" s="55"/>
      <c r="V261" t="s">
        <v>603</v>
      </c>
      <c r="W261" s="135" t="s">
        <v>604</v>
      </c>
      <c r="AA261" t="str">
        <f>IFERROR(VLOOKUP(A261,'Capacity of production'!A:C,3,0),"")</f>
        <v/>
      </c>
    </row>
    <row r="262" spans="1:27" ht="15.75" thickBot="1">
      <c r="B262" s="54"/>
      <c r="C262" s="55"/>
      <c r="D262" s="56"/>
      <c r="E262" s="56"/>
      <c r="F262" s="55"/>
      <c r="G262" s="55"/>
      <c r="H262" s="55"/>
      <c r="I262" s="55"/>
      <c r="J262" s="55"/>
      <c r="K262" s="55"/>
      <c r="L262" s="55"/>
      <c r="V262" t="s">
        <v>603</v>
      </c>
      <c r="W262" s="135" t="s">
        <v>604</v>
      </c>
      <c r="AA262" t="str">
        <f>IFERROR(VLOOKUP(A262,'Capacity of production'!A:C,3,0),"")</f>
        <v/>
      </c>
    </row>
    <row r="263" spans="1:27" ht="16.5" thickBot="1">
      <c r="A263" t="str">
        <f>B263</f>
        <v>MO041F-1</v>
      </c>
      <c r="B263" s="20" t="s">
        <v>502</v>
      </c>
      <c r="C263" s="288" t="str">
        <f>VLOOKUP(A263,'All products'!A:B,2,0)</f>
        <v>TECNOGROUT-N (KG)</v>
      </c>
      <c r="D263" s="288"/>
      <c r="E263" s="288"/>
      <c r="F263" s="289"/>
      <c r="G263" s="21">
        <f>Q263</f>
        <v>1013.8</v>
      </c>
      <c r="H263" s="21" t="str">
        <f>VLOOKUP(B263,'Full Item list'!A:B,2,0)</f>
        <v>MO041F-1</v>
      </c>
      <c r="I263" s="21">
        <f>VLOOKUP(H263,'Full Item list'!B:J,9,0)</f>
        <v>1</v>
      </c>
      <c r="J263" s="21"/>
      <c r="K263" s="21" t="str">
        <f>VLOOKUP(H263,'Full Item list'!B:O,14,0)</f>
        <v>KG</v>
      </c>
      <c r="L263" s="21"/>
      <c r="M263">
        <f>O263/P263</f>
        <v>0</v>
      </c>
      <c r="N263" t="e">
        <f>VLOOKUP(B263,#REF!,9,0)</f>
        <v>#REF!</v>
      </c>
      <c r="P263">
        <v>25</v>
      </c>
      <c r="Q263">
        <f>SUM(D265:D270)</f>
        <v>1013.8</v>
      </c>
      <c r="R263">
        <f ca="1">OFFSET(F263,MATCH("Total Cost:",E263:E334,0)-1,0,1,1)/G263</f>
        <v>0.19201585269171145</v>
      </c>
      <c r="U263" t="str">
        <f>VLOOKUP(H263,'Full Item list'!B:D,3,0)</f>
        <v>Component</v>
      </c>
      <c r="V263" t="s">
        <v>603</v>
      </c>
      <c r="W263" s="135" t="s">
        <v>604</v>
      </c>
      <c r="X263" t="s">
        <v>606</v>
      </c>
      <c r="Y263">
        <v>1</v>
      </c>
      <c r="AA263" t="str">
        <f>IFERROR(VLOOKUP(A263,'Capacity of production'!A:C,3,0),"")</f>
        <v/>
      </c>
    </row>
    <row r="264" spans="1:27" ht="15" thickBot="1">
      <c r="B264" s="68" t="s">
        <v>319</v>
      </c>
      <c r="C264" s="69" t="s">
        <v>320</v>
      </c>
      <c r="D264" s="70" t="s">
        <v>321</v>
      </c>
      <c r="E264" s="70" t="s">
        <v>322</v>
      </c>
      <c r="F264" s="26" t="s">
        <v>323</v>
      </c>
      <c r="G264" s="27"/>
      <c r="H264" s="27"/>
      <c r="I264" s="27"/>
      <c r="J264" s="27"/>
      <c r="K264" s="27"/>
      <c r="L264" s="27"/>
      <c r="V264" t="s">
        <v>603</v>
      </c>
      <c r="W264" s="135" t="s">
        <v>604</v>
      </c>
      <c r="AA264" t="str">
        <f>IFERROR(VLOOKUP(A264,'Capacity of production'!A:C,3,0),"")</f>
        <v/>
      </c>
    </row>
    <row r="265" spans="1:27" ht="15.75" thickBot="1">
      <c r="B265" s="71" t="s">
        <v>343</v>
      </c>
      <c r="C265" s="72" t="s">
        <v>101</v>
      </c>
      <c r="D265" s="73">
        <v>360</v>
      </c>
      <c r="E265" s="31">
        <f t="shared" ref="E265:E271" si="38">O265*D265</f>
        <v>36</v>
      </c>
      <c r="F265" s="290"/>
      <c r="G265" s="36"/>
      <c r="H265" s="36" t="str">
        <f>VLOOKUP(B265,'Full Item list'!A:B,2,0)</f>
        <v>CE-080</v>
      </c>
      <c r="I265" s="36"/>
      <c r="J265" s="32" t="str">
        <f t="shared" ref="J265:J271" si="39">K265</f>
        <v>KG</v>
      </c>
      <c r="K265" s="36" t="str">
        <f>VLOOKUP(H265,'Full Item list'!B:O,14,0)</f>
        <v>KG</v>
      </c>
      <c r="L265" s="36">
        <v>5</v>
      </c>
      <c r="M265" s="22" t="e">
        <f t="shared" ref="M265:M270" si="40">O265/P265</f>
        <v>#DIV/0!</v>
      </c>
      <c r="N265" s="22" t="e">
        <f>VLOOKUP(B265,#REF!,9,0)</f>
        <v>#REF!</v>
      </c>
      <c r="O265">
        <f>IFERROR(IF(J265="KG",VLOOKUP(H265,'Cost Price New'!D:E,2,0),VLOOKUP('BOMs setting'!H265,'Cost Price New'!D:I,6,0)),VLOOKUP(H265,A:R,18,0))</f>
        <v>0.1</v>
      </c>
      <c r="P265" s="22"/>
      <c r="Q265">
        <v>1013.8</v>
      </c>
      <c r="S265">
        <f t="shared" ref="S265:S270" si="41">D265/10</f>
        <v>36</v>
      </c>
      <c r="V265" t="s">
        <v>602</v>
      </c>
      <c r="W265" s="135" t="s">
        <v>605</v>
      </c>
      <c r="AA265" t="str">
        <f>IFERROR(VLOOKUP(A265,'Capacity of production'!A:C,3,0),"")</f>
        <v/>
      </c>
    </row>
    <row r="266" spans="1:27" ht="15.75" thickBot="1">
      <c r="B266" s="67" t="s">
        <v>338</v>
      </c>
      <c r="C266" s="74" t="s">
        <v>117</v>
      </c>
      <c r="D266" s="34">
        <v>150</v>
      </c>
      <c r="E266" s="31">
        <f t="shared" si="38"/>
        <v>5.2500000000000009</v>
      </c>
      <c r="F266" s="291"/>
      <c r="G266" s="36"/>
      <c r="H266" s="36" t="str">
        <f>VLOOKUP(B266,'Full Item list'!A:B,2,0)</f>
        <v>FS-550</v>
      </c>
      <c r="I266" s="36"/>
      <c r="J266" s="32" t="str">
        <f t="shared" si="39"/>
        <v>KG</v>
      </c>
      <c r="K266" s="36" t="str">
        <f>VLOOKUP(H266,'Full Item list'!B:O,14,0)</f>
        <v>KG</v>
      </c>
      <c r="L266" s="36">
        <v>5</v>
      </c>
      <c r="M266" s="22" t="e">
        <f t="shared" si="40"/>
        <v>#DIV/0!</v>
      </c>
      <c r="N266" s="22" t="e">
        <f>VLOOKUP(B266,#REF!,9,0)</f>
        <v>#REF!</v>
      </c>
      <c r="O266">
        <f>IFERROR(IF(J266="KG",VLOOKUP(H266,'Cost Price New'!D:E,2,0),VLOOKUP('BOMs setting'!H266,'Cost Price New'!D:I,6,0)),VLOOKUP(H266,A:R,18,0))</f>
        <v>3.5000000000000003E-2</v>
      </c>
      <c r="P266" s="22"/>
      <c r="Q266">
        <v>1013.8</v>
      </c>
      <c r="S266">
        <f t="shared" si="41"/>
        <v>15</v>
      </c>
      <c r="V266" t="s">
        <v>602</v>
      </c>
      <c r="W266" s="135" t="s">
        <v>605</v>
      </c>
      <c r="AA266" t="str">
        <f>IFERROR(VLOOKUP(A266,'Capacity of production'!A:C,3,0),"")</f>
        <v/>
      </c>
    </row>
    <row r="267" spans="1:27" ht="15.75" thickBot="1">
      <c r="B267" s="67" t="s">
        <v>339</v>
      </c>
      <c r="C267" s="74" t="s">
        <v>119</v>
      </c>
      <c r="D267" s="34">
        <v>150</v>
      </c>
      <c r="E267" s="31">
        <f t="shared" si="38"/>
        <v>5.2500000000000009</v>
      </c>
      <c r="F267" s="291"/>
      <c r="G267" s="36"/>
      <c r="H267" s="36" t="str">
        <f>VLOOKUP(B267,'Full Item list'!A:B,2,0)</f>
        <v>FS-560</v>
      </c>
      <c r="I267" s="36"/>
      <c r="J267" s="32" t="str">
        <f t="shared" si="39"/>
        <v>KG</v>
      </c>
      <c r="K267" s="36" t="str">
        <f>VLOOKUP(H267,'Full Item list'!B:O,14,0)</f>
        <v>KG</v>
      </c>
      <c r="L267" s="36">
        <v>5</v>
      </c>
      <c r="M267" s="22" t="e">
        <f t="shared" si="40"/>
        <v>#DIV/0!</v>
      </c>
      <c r="N267" s="22" t="e">
        <f>VLOOKUP(B267,#REF!,9,0)</f>
        <v>#REF!</v>
      </c>
      <c r="O267">
        <f>IFERROR(IF(J267="KG",VLOOKUP(H267,'Cost Price New'!D:E,2,0),VLOOKUP('BOMs setting'!H267,'Cost Price New'!D:I,6,0)),VLOOKUP(H267,A:R,18,0))</f>
        <v>3.5000000000000003E-2</v>
      </c>
      <c r="P267" s="22"/>
      <c r="Q267">
        <v>1013.8</v>
      </c>
      <c r="S267">
        <f t="shared" si="41"/>
        <v>15</v>
      </c>
      <c r="V267" t="s">
        <v>602</v>
      </c>
      <c r="W267" s="135" t="s">
        <v>605</v>
      </c>
      <c r="AA267" t="str">
        <f>IFERROR(VLOOKUP(A267,'Capacity of production'!A:C,3,0),"")</f>
        <v/>
      </c>
    </row>
    <row r="268" spans="1:27" ht="15.75" thickBot="1">
      <c r="B268" s="67" t="s">
        <v>341</v>
      </c>
      <c r="C268" s="74" t="s">
        <v>121</v>
      </c>
      <c r="D268" s="34">
        <v>150</v>
      </c>
      <c r="E268" s="31">
        <f t="shared" si="38"/>
        <v>4.8</v>
      </c>
      <c r="F268" s="291"/>
      <c r="G268" s="36"/>
      <c r="H268" s="36" t="str">
        <f>VLOOKUP(B268,'Full Item list'!A:B,2,0)</f>
        <v>FS-570</v>
      </c>
      <c r="I268" s="36"/>
      <c r="J268" s="32" t="str">
        <f t="shared" si="39"/>
        <v>KG</v>
      </c>
      <c r="K268" s="36" t="str">
        <f>VLOOKUP(H268,'Full Item list'!B:O,14,0)</f>
        <v>KG</v>
      </c>
      <c r="L268" s="36">
        <v>5</v>
      </c>
      <c r="M268" s="22" t="e">
        <f t="shared" si="40"/>
        <v>#DIV/0!</v>
      </c>
      <c r="N268" s="22" t="e">
        <f>VLOOKUP(B268,#REF!,9,0)</f>
        <v>#REF!</v>
      </c>
      <c r="O268">
        <f>IFERROR(IF(J268="KG",VLOOKUP(H268,'Cost Price New'!D:E,2,0),VLOOKUP('BOMs setting'!H268,'Cost Price New'!D:I,6,0)),VLOOKUP(H268,A:R,18,0))</f>
        <v>3.2000000000000001E-2</v>
      </c>
      <c r="P268" s="22"/>
      <c r="Q268">
        <v>1013.8</v>
      </c>
      <c r="S268">
        <f t="shared" si="41"/>
        <v>15</v>
      </c>
      <c r="V268" t="s">
        <v>602</v>
      </c>
      <c r="W268" s="135" t="s">
        <v>605</v>
      </c>
      <c r="AA268" t="str">
        <f>IFERROR(VLOOKUP(A268,'Capacity of production'!A:C,3,0),"")</f>
        <v/>
      </c>
    </row>
    <row r="269" spans="1:27" ht="15.75" thickBot="1">
      <c r="B269" s="67" t="s">
        <v>347</v>
      </c>
      <c r="C269" s="74" t="s">
        <v>123</v>
      </c>
      <c r="D269" s="34">
        <v>200</v>
      </c>
      <c r="E269" s="31">
        <f t="shared" si="38"/>
        <v>7.0000000000000009</v>
      </c>
      <c r="F269" s="291"/>
      <c r="G269" s="36"/>
      <c r="H269" s="36" t="str">
        <f>VLOOKUP(B269,'Full Item list'!A:B,2,0)</f>
        <v>FS-580</v>
      </c>
      <c r="I269" s="36"/>
      <c r="J269" s="32" t="str">
        <f t="shared" si="39"/>
        <v>KG</v>
      </c>
      <c r="K269" s="36" t="str">
        <f>VLOOKUP(H269,'Full Item list'!B:O,14,0)</f>
        <v>KG</v>
      </c>
      <c r="L269" s="36">
        <v>5</v>
      </c>
      <c r="M269" s="22" t="e">
        <f t="shared" si="40"/>
        <v>#DIV/0!</v>
      </c>
      <c r="N269" s="22" t="e">
        <f>VLOOKUP(B269,#REF!,9,0)</f>
        <v>#REF!</v>
      </c>
      <c r="O269">
        <f>IFERROR(IF(J269="KG",VLOOKUP(H269,'Cost Price New'!D:E,2,0),VLOOKUP('BOMs setting'!H269,'Cost Price New'!D:I,6,0)),VLOOKUP(H269,A:R,18,0))</f>
        <v>3.5000000000000003E-2</v>
      </c>
      <c r="P269" s="22"/>
      <c r="Q269">
        <v>1013.8</v>
      </c>
      <c r="S269">
        <f t="shared" si="41"/>
        <v>20</v>
      </c>
      <c r="V269" t="s">
        <v>602</v>
      </c>
      <c r="W269" s="135" t="s">
        <v>605</v>
      </c>
      <c r="AA269" t="str">
        <f>IFERROR(VLOOKUP(A269,'Capacity of production'!A:C,3,0),"")</f>
        <v/>
      </c>
    </row>
    <row r="270" spans="1:27" ht="15.75" thickBot="1">
      <c r="B270" s="75" t="s">
        <v>239</v>
      </c>
      <c r="C270" s="76" t="s">
        <v>240</v>
      </c>
      <c r="D270" s="39">
        <v>3.8</v>
      </c>
      <c r="E270" s="31">
        <f t="shared" ca="1" si="38"/>
        <v>11.904932831691932</v>
      </c>
      <c r="F270" s="292"/>
      <c r="G270" s="36"/>
      <c r="H270" s="36" t="str">
        <f>VLOOKUP(B270,'Full Item list'!A:B,2,0)</f>
        <v>SPMO001</v>
      </c>
      <c r="I270" s="36"/>
      <c r="J270" s="32" t="str">
        <f t="shared" si="39"/>
        <v>KG</v>
      </c>
      <c r="K270" s="36" t="str">
        <f>VLOOKUP(H270,'Full Item list'!B:O,14,0)</f>
        <v>KG</v>
      </c>
      <c r="L270" s="36">
        <v>0.1</v>
      </c>
      <c r="M270">
        <f t="shared" ca="1" si="40"/>
        <v>1.5664385304857805E-2</v>
      </c>
      <c r="N270" t="e">
        <f>VLOOKUP(B270,#REF!,9,0)</f>
        <v>#REF!</v>
      </c>
      <c r="O270">
        <f ca="1">IFERROR(IF(J270="KG",VLOOKUP(H270,'Cost Price New'!D:E,2,0),VLOOKUP('BOMs setting'!H270,'Cost Price New'!D:I,6,0)),VLOOKUP(H270,A:R,18,0))</f>
        <v>3.1328770609715613</v>
      </c>
      <c r="P270">
        <v>200</v>
      </c>
      <c r="Q270">
        <v>1013.8</v>
      </c>
      <c r="S270">
        <f t="shared" si="41"/>
        <v>0.38</v>
      </c>
      <c r="V270" t="s">
        <v>603</v>
      </c>
      <c r="W270" s="135" t="s">
        <v>604</v>
      </c>
      <c r="AA270" t="str">
        <f>IFERROR(VLOOKUP(A270,'Capacity of production'!A:C,3,0),"")</f>
        <v/>
      </c>
    </row>
    <row r="271" spans="1:27" ht="15.75" thickBot="1">
      <c r="B271" s="41" t="s">
        <v>310</v>
      </c>
      <c r="C271" s="42" t="s">
        <v>312</v>
      </c>
      <c r="D271" s="284">
        <f>G263/AA258</f>
        <v>0.25345000000000001</v>
      </c>
      <c r="E271" s="31">
        <f t="shared" si="38"/>
        <v>124.46073862716511</v>
      </c>
      <c r="F271" s="45" t="s">
        <v>782</v>
      </c>
      <c r="G271" s="32"/>
      <c r="H271" s="32" t="str">
        <f>VLOOKUP(B271,'Full Item list'!A:B,2,0)</f>
        <v>LAB/OH-Mortar</v>
      </c>
      <c r="I271" s="32"/>
      <c r="J271" s="32" t="str">
        <f t="shared" si="39"/>
        <v>H</v>
      </c>
      <c r="K271" s="32" t="str">
        <f>VLOOKUP(H271,'Full Item list'!B:O,14,0)</f>
        <v>H</v>
      </c>
      <c r="L271" s="32"/>
      <c r="O271">
        <f>IFERROR(IF(J271="KG",VLOOKUP(H271,'Cost Price New'!D:E,2,0),VLOOKUP('BOMs setting'!H271,'Cost Price New'!D:I,6,0)),VLOOKUP(H271,A:R,18,0))</f>
        <v>491.06624039126103</v>
      </c>
      <c r="V271" t="s">
        <v>603</v>
      </c>
      <c r="W271" s="135" t="s">
        <v>604</v>
      </c>
      <c r="AA271" t="str">
        <f>IFERROR(VLOOKUP(A271,'Capacity of production'!A:C,3,0),"")</f>
        <v/>
      </c>
    </row>
    <row r="272" spans="1:27" ht="15">
      <c r="B272" s="54"/>
      <c r="C272" s="55"/>
      <c r="D272" s="56"/>
      <c r="E272" s="56" t="s">
        <v>466</v>
      </c>
      <c r="F272" s="56">
        <f ca="1">SUM(E265:E271)</f>
        <v>194.66567145885705</v>
      </c>
      <c r="G272" s="55"/>
      <c r="H272" s="55"/>
      <c r="I272" s="55"/>
      <c r="J272" s="55"/>
      <c r="K272" s="55"/>
      <c r="L272" s="55"/>
      <c r="V272" t="s">
        <v>603</v>
      </c>
      <c r="W272" s="135" t="s">
        <v>604</v>
      </c>
      <c r="AA272" t="str">
        <f>IFERROR(VLOOKUP(A272,'Capacity of production'!A:C,3,0),"")</f>
        <v/>
      </c>
    </row>
    <row r="273" spans="1:27" ht="15.75" thickBot="1">
      <c r="B273" s="54"/>
      <c r="C273" s="55"/>
      <c r="D273" s="56"/>
      <c r="E273" s="56"/>
      <c r="F273" s="56"/>
      <c r="G273" s="55"/>
      <c r="H273" s="55"/>
      <c r="I273" s="55"/>
      <c r="J273" s="55"/>
      <c r="K273" s="55"/>
      <c r="L273" s="55"/>
      <c r="V273" t="s">
        <v>603</v>
      </c>
      <c r="W273" s="135" t="s">
        <v>604</v>
      </c>
      <c r="AA273" t="str">
        <f>IFERROR(VLOOKUP(A273,'Capacity of production'!A:C,3,0),"")</f>
        <v/>
      </c>
    </row>
    <row r="274" spans="1:27" ht="16.5" thickBot="1">
      <c r="A274" t="str">
        <f>B274</f>
        <v>MO047F</v>
      </c>
      <c r="B274" s="20" t="s">
        <v>155</v>
      </c>
      <c r="C274" s="288" t="str">
        <f>VLOOKUP(A274,'All products'!A:B,2,0)</f>
        <v>TECNOGROUT-SR (25KG)</v>
      </c>
      <c r="D274" s="288"/>
      <c r="E274" s="288"/>
      <c r="F274" s="289"/>
      <c r="G274" s="21">
        <v>1</v>
      </c>
      <c r="H274" s="21" t="str">
        <f>VLOOKUP(B274,'Full Item list'!A:B,2,0)</f>
        <v>MO047F</v>
      </c>
      <c r="I274" s="21">
        <f>VLOOKUP(H274,'Full Item list'!B:J,9,0)</f>
        <v>25</v>
      </c>
      <c r="J274" s="21"/>
      <c r="K274" s="21" t="str">
        <f>VLOOKUP(H274,'Full Item list'!B:O,14,0)</f>
        <v>PCS</v>
      </c>
      <c r="L274" s="21"/>
      <c r="M274">
        <f>O274/P274</f>
        <v>0</v>
      </c>
      <c r="N274" t="e">
        <f>VLOOKUP(B274,#REF!,9,0)</f>
        <v>#REF!</v>
      </c>
      <c r="P274">
        <v>25</v>
      </c>
      <c r="Q274">
        <f>SUM(D276:D279)</f>
        <v>25</v>
      </c>
      <c r="R274">
        <f ca="1">OFFSET(F274,MATCH("Total Cost:",E274:E348,0)-1,0,1,1)/G274</f>
        <v>4.8003963172927859</v>
      </c>
      <c r="U274" t="str">
        <f>VLOOKUP(H274,'Full Item list'!B:D,3,0)</f>
        <v>Product</v>
      </c>
      <c r="V274" t="s">
        <v>603</v>
      </c>
      <c r="W274" s="135" t="s">
        <v>604</v>
      </c>
      <c r="X274" t="s">
        <v>606</v>
      </c>
      <c r="AA274">
        <f>IFERROR(VLOOKUP(A274,'Capacity of production'!A:C,3,0),"")</f>
        <v>4000</v>
      </c>
    </row>
    <row r="275" spans="1:27" ht="15" thickBot="1">
      <c r="B275" s="23" t="s">
        <v>319</v>
      </c>
      <c r="C275" s="24" t="s">
        <v>320</v>
      </c>
      <c r="D275" s="25" t="s">
        <v>321</v>
      </c>
      <c r="E275" s="25" t="s">
        <v>322</v>
      </c>
      <c r="F275" s="26" t="s">
        <v>323</v>
      </c>
      <c r="G275" s="27"/>
      <c r="H275" s="27"/>
      <c r="I275" s="27"/>
      <c r="J275" s="27"/>
      <c r="K275" s="27"/>
      <c r="L275" s="27"/>
      <c r="V275" t="s">
        <v>603</v>
      </c>
      <c r="W275" s="135" t="s">
        <v>604</v>
      </c>
      <c r="AA275" t="str">
        <f>IFERROR(VLOOKUP(A275,'Capacity of production'!A:C,3,0),"")</f>
        <v/>
      </c>
    </row>
    <row r="276" spans="1:27" ht="15.75" thickBot="1">
      <c r="B276" s="20" t="s">
        <v>574</v>
      </c>
      <c r="C276" s="55" t="str">
        <f>VLOOKUP(B276,'All products'!A:B,2,0)</f>
        <v>TECNOGROUT-SR (KG)</v>
      </c>
      <c r="D276" s="43">
        <v>25</v>
      </c>
      <c r="E276" s="31">
        <f ca="1">O276*D276</f>
        <v>4.8003963172927859</v>
      </c>
      <c r="F276" s="45"/>
      <c r="G276" s="32"/>
      <c r="H276" s="32" t="str">
        <f>VLOOKUP(B276,'Full Item list'!A:B,2,0)</f>
        <v>MO047F-1</v>
      </c>
      <c r="I276" s="32"/>
      <c r="J276" s="32" t="str">
        <f>K276</f>
        <v>KG</v>
      </c>
      <c r="K276" s="32" t="str">
        <f>VLOOKUP(H276,'Full Item list'!B:O,14,0)</f>
        <v>KG</v>
      </c>
      <c r="L276" s="32"/>
      <c r="M276">
        <f ca="1">O276/P276</f>
        <v>7.6806341076684579E-3</v>
      </c>
      <c r="N276" t="e">
        <f>VLOOKUP(B276,#REF!,9,0)</f>
        <v>#REF!</v>
      </c>
      <c r="O276">
        <f ca="1">IFERROR(IF(J276="KG",VLOOKUP(H276,'Cost Price New'!D:E,2,0),VLOOKUP('BOMs setting'!H276,'Cost Price New'!D:I,6,0)),VLOOKUP(H276,A:R,18,0))</f>
        <v>0.19201585269171145</v>
      </c>
      <c r="P276">
        <v>25</v>
      </c>
      <c r="Q276">
        <v>1</v>
      </c>
      <c r="V276" t="s">
        <v>603</v>
      </c>
      <c r="W276" s="135" t="s">
        <v>604</v>
      </c>
      <c r="AA276" t="str">
        <f>IFERROR(VLOOKUP(A276,'Capacity of production'!A:C,3,0),"")</f>
        <v/>
      </c>
    </row>
    <row r="277" spans="1:27" ht="15">
      <c r="B277" s="54"/>
      <c r="C277" s="55"/>
      <c r="D277" s="56"/>
      <c r="E277" s="56" t="s">
        <v>466</v>
      </c>
      <c r="F277" s="56">
        <f ca="1">E276</f>
        <v>4.8003963172927859</v>
      </c>
      <c r="G277" s="55"/>
      <c r="H277" s="55"/>
      <c r="I277" s="55"/>
      <c r="J277" s="55"/>
      <c r="K277" s="55"/>
      <c r="L277" s="55"/>
      <c r="V277" t="s">
        <v>603</v>
      </c>
      <c r="W277" s="135" t="s">
        <v>604</v>
      </c>
      <c r="AA277" t="str">
        <f>IFERROR(VLOOKUP(A277,'Capacity of production'!A:C,3,0),"")</f>
        <v/>
      </c>
    </row>
    <row r="278" spans="1:27" ht="15">
      <c r="B278" s="54"/>
      <c r="C278" s="55"/>
      <c r="D278" s="56"/>
      <c r="E278" s="56"/>
      <c r="F278" s="56"/>
      <c r="G278" s="55"/>
      <c r="H278" s="55"/>
      <c r="I278" s="55"/>
      <c r="J278" s="55"/>
      <c r="K278" s="55"/>
      <c r="L278" s="55"/>
      <c r="V278" t="s">
        <v>603</v>
      </c>
      <c r="W278" s="135" t="s">
        <v>604</v>
      </c>
      <c r="AA278" t="str">
        <f>IFERROR(VLOOKUP(A278,'Capacity of production'!A:C,3,0),"")</f>
        <v/>
      </c>
    </row>
    <row r="279" spans="1:27" ht="15.75" thickBot="1">
      <c r="B279" s="54"/>
      <c r="C279" s="55"/>
      <c r="D279" s="55"/>
      <c r="E279" s="56"/>
      <c r="F279" s="55"/>
      <c r="G279" s="55"/>
      <c r="H279" s="55"/>
      <c r="I279" s="55"/>
      <c r="J279" s="55"/>
      <c r="K279" s="55"/>
      <c r="L279" s="55"/>
      <c r="V279" t="s">
        <v>603</v>
      </c>
      <c r="W279" s="135" t="s">
        <v>604</v>
      </c>
      <c r="AA279" t="str">
        <f>IFERROR(VLOOKUP(A279,'Capacity of production'!A:C,3,0),"")</f>
        <v/>
      </c>
    </row>
    <row r="280" spans="1:27" ht="16.5" thickBot="1">
      <c r="A280" t="str">
        <f>B280</f>
        <v>MO047F-1</v>
      </c>
      <c r="B280" s="20" t="s">
        <v>574</v>
      </c>
      <c r="C280" s="288" t="str">
        <f>VLOOKUP(A280,'All products'!A:B,2,0)</f>
        <v>TECNOGROUT-SR (KG)</v>
      </c>
      <c r="D280" s="288"/>
      <c r="E280" s="288"/>
      <c r="F280" s="289"/>
      <c r="G280" s="21">
        <f>Q280</f>
        <v>1013.8</v>
      </c>
      <c r="H280" s="21" t="str">
        <f>VLOOKUP(B280,'Full Item list'!A:B,2,0)</f>
        <v>MO047F-1</v>
      </c>
      <c r="I280" s="21">
        <f>VLOOKUP(H280,'Full Item list'!B:J,9,0)</f>
        <v>1</v>
      </c>
      <c r="J280" s="21"/>
      <c r="K280" s="21" t="str">
        <f>VLOOKUP(H280,'Full Item list'!B:O,14,0)</f>
        <v>KG</v>
      </c>
      <c r="L280" s="21"/>
      <c r="M280">
        <f>O280/P280</f>
        <v>0</v>
      </c>
      <c r="N280" t="e">
        <f>VLOOKUP(B280,#REF!,9,0)</f>
        <v>#REF!</v>
      </c>
      <c r="P280">
        <v>25</v>
      </c>
      <c r="Q280">
        <f>SUM(D282:D287)</f>
        <v>1013.8</v>
      </c>
      <c r="R280">
        <f ca="1">OFFSET(F280,MATCH("Total Cost:",E280:E350,0)-1,0,1,1)/G280</f>
        <v>0.19201585269171145</v>
      </c>
      <c r="U280" t="str">
        <f>VLOOKUP(H280,'Full Item list'!B:D,3,0)</f>
        <v>Component</v>
      </c>
      <c r="V280" t="s">
        <v>603</v>
      </c>
      <c r="W280" s="135" t="s">
        <v>604</v>
      </c>
      <c r="X280" t="s">
        <v>606</v>
      </c>
      <c r="Y280">
        <v>1</v>
      </c>
      <c r="AA280" t="str">
        <f>IFERROR(VLOOKUP(A280,'Capacity of production'!A:C,3,0),"")</f>
        <v/>
      </c>
    </row>
    <row r="281" spans="1:27" ht="15" thickBot="1">
      <c r="B281" s="68" t="s">
        <v>319</v>
      </c>
      <c r="C281" s="69" t="s">
        <v>320</v>
      </c>
      <c r="D281" s="70" t="s">
        <v>321</v>
      </c>
      <c r="E281" s="70" t="s">
        <v>322</v>
      </c>
      <c r="F281" s="26" t="s">
        <v>323</v>
      </c>
      <c r="G281" s="27"/>
      <c r="H281" s="27"/>
      <c r="I281" s="27"/>
      <c r="J281" s="27"/>
      <c r="K281" s="27"/>
      <c r="L281" s="27"/>
      <c r="V281" t="s">
        <v>603</v>
      </c>
      <c r="W281" s="135" t="s">
        <v>604</v>
      </c>
      <c r="AA281" t="str">
        <f>IFERROR(VLOOKUP(A281,'Capacity of production'!A:C,3,0),"")</f>
        <v/>
      </c>
    </row>
    <row r="282" spans="1:27" ht="15.75" thickBot="1">
      <c r="B282" s="71" t="s">
        <v>343</v>
      </c>
      <c r="C282" s="77" t="s">
        <v>101</v>
      </c>
      <c r="D282" s="73">
        <v>360</v>
      </c>
      <c r="E282" s="31">
        <f t="shared" ref="E282:E288" si="42">O282*D282</f>
        <v>36</v>
      </c>
      <c r="F282" s="290"/>
      <c r="H282" s="36" t="str">
        <f>VLOOKUP(B282,'Full Item list'!A:B,2,0)</f>
        <v>CE-080</v>
      </c>
      <c r="I282" s="36"/>
      <c r="J282" s="32" t="str">
        <f t="shared" ref="J282:J288" si="43">K282</f>
        <v>KG</v>
      </c>
      <c r="K282" s="36" t="str">
        <f>VLOOKUP(H282,'Full Item list'!B:O,14,0)</f>
        <v>KG</v>
      </c>
      <c r="L282" s="36">
        <v>5</v>
      </c>
      <c r="M282" s="22" t="e">
        <f t="shared" ref="M282:M287" si="44">O282/P282</f>
        <v>#DIV/0!</v>
      </c>
      <c r="N282" s="22" t="e">
        <f>VLOOKUP(B282,#REF!,9,0)</f>
        <v>#REF!</v>
      </c>
      <c r="O282">
        <f>IFERROR(IF(J282="KG",VLOOKUP(H282,'Cost Price New'!D:E,2,0),VLOOKUP('BOMs setting'!H282,'Cost Price New'!D:I,6,0)),VLOOKUP(H282,A:R,18,0))</f>
        <v>0.1</v>
      </c>
      <c r="P282" s="22"/>
      <c r="Q282">
        <v>1013.8</v>
      </c>
      <c r="V282" t="s">
        <v>602</v>
      </c>
      <c r="W282" s="135" t="s">
        <v>605</v>
      </c>
      <c r="AA282" t="str">
        <f>IFERROR(VLOOKUP(A282,'Capacity of production'!A:C,3,0),"")</f>
        <v/>
      </c>
    </row>
    <row r="283" spans="1:27" ht="15.75" thickBot="1">
      <c r="B283" s="67" t="s">
        <v>338</v>
      </c>
      <c r="C283" s="78" t="s">
        <v>117</v>
      </c>
      <c r="D283" s="34">
        <v>150</v>
      </c>
      <c r="E283" s="31">
        <f t="shared" si="42"/>
        <v>5.2500000000000009</v>
      </c>
      <c r="F283" s="291"/>
      <c r="H283" s="36" t="str">
        <f>VLOOKUP(B283,'Full Item list'!A:B,2,0)</f>
        <v>FS-550</v>
      </c>
      <c r="I283" s="36"/>
      <c r="J283" s="32" t="str">
        <f t="shared" si="43"/>
        <v>KG</v>
      </c>
      <c r="K283" s="36" t="str">
        <f>VLOOKUP(H283,'Full Item list'!B:O,14,0)</f>
        <v>KG</v>
      </c>
      <c r="L283" s="36">
        <v>5</v>
      </c>
      <c r="M283" s="22" t="e">
        <f t="shared" si="44"/>
        <v>#DIV/0!</v>
      </c>
      <c r="N283" s="22" t="e">
        <f>VLOOKUP(B283,#REF!,9,0)</f>
        <v>#REF!</v>
      </c>
      <c r="O283">
        <f>IFERROR(IF(J283="KG",VLOOKUP(H283,'Cost Price New'!D:E,2,0),VLOOKUP('BOMs setting'!H283,'Cost Price New'!D:I,6,0)),VLOOKUP(H283,A:R,18,0))</f>
        <v>3.5000000000000003E-2</v>
      </c>
      <c r="P283" s="22"/>
      <c r="Q283">
        <v>1013.8</v>
      </c>
      <c r="V283" t="s">
        <v>602</v>
      </c>
      <c r="W283" s="135" t="s">
        <v>605</v>
      </c>
      <c r="AA283" t="str">
        <f>IFERROR(VLOOKUP(A283,'Capacity of production'!A:C,3,0),"")</f>
        <v/>
      </c>
    </row>
    <row r="284" spans="1:27" ht="15.75" thickBot="1">
      <c r="B284" s="67" t="s">
        <v>339</v>
      </c>
      <c r="C284" s="78" t="s">
        <v>119</v>
      </c>
      <c r="D284" s="34">
        <v>150</v>
      </c>
      <c r="E284" s="31">
        <f t="shared" si="42"/>
        <v>5.2500000000000009</v>
      </c>
      <c r="F284" s="291"/>
      <c r="H284" s="36" t="str">
        <f>VLOOKUP(B284,'Full Item list'!A:B,2,0)</f>
        <v>FS-560</v>
      </c>
      <c r="I284" s="36"/>
      <c r="J284" s="32" t="str">
        <f t="shared" si="43"/>
        <v>KG</v>
      </c>
      <c r="K284" s="36" t="str">
        <f>VLOOKUP(H284,'Full Item list'!B:O,14,0)</f>
        <v>KG</v>
      </c>
      <c r="L284" s="36">
        <v>5</v>
      </c>
      <c r="M284" s="22" t="e">
        <f t="shared" si="44"/>
        <v>#DIV/0!</v>
      </c>
      <c r="N284" s="22" t="e">
        <f>VLOOKUP(B284,#REF!,9,0)</f>
        <v>#REF!</v>
      </c>
      <c r="O284">
        <f>IFERROR(IF(J284="KG",VLOOKUP(H284,'Cost Price New'!D:E,2,0),VLOOKUP('BOMs setting'!H284,'Cost Price New'!D:I,6,0)),VLOOKUP(H284,A:R,18,0))</f>
        <v>3.5000000000000003E-2</v>
      </c>
      <c r="P284" s="22"/>
      <c r="Q284">
        <v>1013.8</v>
      </c>
      <c r="V284" t="s">
        <v>602</v>
      </c>
      <c r="W284" s="135" t="s">
        <v>605</v>
      </c>
      <c r="AA284" t="str">
        <f>IFERROR(VLOOKUP(A284,'Capacity of production'!A:C,3,0),"")</f>
        <v/>
      </c>
    </row>
    <row r="285" spans="1:27" ht="15.75" thickBot="1">
      <c r="B285" s="67" t="s">
        <v>341</v>
      </c>
      <c r="C285" s="78" t="s">
        <v>121</v>
      </c>
      <c r="D285" s="34">
        <v>150</v>
      </c>
      <c r="E285" s="31">
        <f t="shared" si="42"/>
        <v>4.8</v>
      </c>
      <c r="F285" s="291"/>
      <c r="H285" s="36" t="str">
        <f>VLOOKUP(B285,'Full Item list'!A:B,2,0)</f>
        <v>FS-570</v>
      </c>
      <c r="I285" s="36"/>
      <c r="J285" s="32" t="str">
        <f t="shared" si="43"/>
        <v>KG</v>
      </c>
      <c r="K285" s="36" t="str">
        <f>VLOOKUP(H285,'Full Item list'!B:O,14,0)</f>
        <v>KG</v>
      </c>
      <c r="L285" s="36">
        <v>5</v>
      </c>
      <c r="M285" s="22" t="e">
        <f t="shared" si="44"/>
        <v>#DIV/0!</v>
      </c>
      <c r="N285" s="22" t="e">
        <f>VLOOKUP(B285,#REF!,9,0)</f>
        <v>#REF!</v>
      </c>
      <c r="O285">
        <f>IFERROR(IF(J285="KG",VLOOKUP(H285,'Cost Price New'!D:E,2,0),VLOOKUP('BOMs setting'!H285,'Cost Price New'!D:I,6,0)),VLOOKUP(H285,A:R,18,0))</f>
        <v>3.2000000000000001E-2</v>
      </c>
      <c r="P285" s="22"/>
      <c r="Q285">
        <v>1013.8</v>
      </c>
      <c r="V285" t="s">
        <v>602</v>
      </c>
      <c r="W285" s="135" t="s">
        <v>605</v>
      </c>
      <c r="AA285" t="str">
        <f>IFERROR(VLOOKUP(A285,'Capacity of production'!A:C,3,0),"")</f>
        <v/>
      </c>
    </row>
    <row r="286" spans="1:27" ht="15.75" thickBot="1">
      <c r="B286" s="67" t="s">
        <v>347</v>
      </c>
      <c r="C286" s="78" t="s">
        <v>123</v>
      </c>
      <c r="D286" s="34">
        <v>200</v>
      </c>
      <c r="E286" s="31">
        <f t="shared" si="42"/>
        <v>7.0000000000000009</v>
      </c>
      <c r="F286" s="291"/>
      <c r="H286" s="36" t="str">
        <f>VLOOKUP(B286,'Full Item list'!A:B,2,0)</f>
        <v>FS-580</v>
      </c>
      <c r="I286" s="36"/>
      <c r="J286" s="32" t="str">
        <f t="shared" si="43"/>
        <v>KG</v>
      </c>
      <c r="K286" s="36" t="str">
        <f>VLOOKUP(H286,'Full Item list'!B:O,14,0)</f>
        <v>KG</v>
      </c>
      <c r="L286" s="36">
        <v>5</v>
      </c>
      <c r="M286" s="22" t="e">
        <f t="shared" si="44"/>
        <v>#DIV/0!</v>
      </c>
      <c r="N286" s="22" t="e">
        <f>VLOOKUP(B286,#REF!,9,0)</f>
        <v>#REF!</v>
      </c>
      <c r="O286">
        <f>IFERROR(IF(J286="KG",VLOOKUP(H286,'Cost Price New'!D:E,2,0),VLOOKUP('BOMs setting'!H286,'Cost Price New'!D:I,6,0)),VLOOKUP(H286,A:R,18,0))</f>
        <v>3.5000000000000003E-2</v>
      </c>
      <c r="P286" s="22"/>
      <c r="Q286">
        <v>1013.8</v>
      </c>
      <c r="V286" t="s">
        <v>602</v>
      </c>
      <c r="W286" s="135" t="s">
        <v>605</v>
      </c>
      <c r="AA286" t="str">
        <f>IFERROR(VLOOKUP(A286,'Capacity of production'!A:C,3,0),"")</f>
        <v/>
      </c>
    </row>
    <row r="287" spans="1:27" ht="15.75" thickBot="1">
      <c r="B287" s="75" t="s">
        <v>239</v>
      </c>
      <c r="C287" s="79" t="s">
        <v>240</v>
      </c>
      <c r="D287" s="39">
        <v>3.8</v>
      </c>
      <c r="E287" s="31">
        <f t="shared" ca="1" si="42"/>
        <v>11.904932831691932</v>
      </c>
      <c r="F287" s="292"/>
      <c r="H287" s="36" t="str">
        <f>VLOOKUP(B287,'Full Item list'!A:B,2,0)</f>
        <v>SPMO001</v>
      </c>
      <c r="I287" s="36"/>
      <c r="J287" s="32" t="str">
        <f t="shared" si="43"/>
        <v>KG</v>
      </c>
      <c r="K287" s="36" t="str">
        <f>VLOOKUP(H287,'Full Item list'!B:O,14,0)</f>
        <v>KG</v>
      </c>
      <c r="L287" s="36">
        <v>0.1</v>
      </c>
      <c r="M287">
        <f t="shared" ca="1" si="44"/>
        <v>1.5664385304857805E-2</v>
      </c>
      <c r="N287" t="e">
        <f>VLOOKUP(B287,#REF!,9,0)</f>
        <v>#REF!</v>
      </c>
      <c r="O287">
        <f ca="1">IFERROR(IF(J287="KG",VLOOKUP(H287,'Cost Price New'!D:E,2,0),VLOOKUP('BOMs setting'!H287,'Cost Price New'!D:I,6,0)),VLOOKUP(H287,A:R,18,0))</f>
        <v>3.1328770609715613</v>
      </c>
      <c r="P287">
        <v>200</v>
      </c>
      <c r="Q287">
        <v>1013.8</v>
      </c>
      <c r="V287" t="s">
        <v>603</v>
      </c>
      <c r="W287" s="135" t="s">
        <v>604</v>
      </c>
      <c r="AA287" t="str">
        <f>IFERROR(VLOOKUP(A287,'Capacity of production'!A:C,3,0),"")</f>
        <v/>
      </c>
    </row>
    <row r="288" spans="1:27" ht="15.75" thickBot="1">
      <c r="B288" s="41" t="s">
        <v>310</v>
      </c>
      <c r="C288" s="42" t="s">
        <v>312</v>
      </c>
      <c r="D288" s="284">
        <f>G280/AA274</f>
        <v>0.25345000000000001</v>
      </c>
      <c r="E288" s="31">
        <f t="shared" si="42"/>
        <v>124.46073862716511</v>
      </c>
      <c r="F288" s="45" t="s">
        <v>782</v>
      </c>
      <c r="G288" s="32"/>
      <c r="H288" s="32" t="str">
        <f>VLOOKUP(B288,'Full Item list'!A:B,2,0)</f>
        <v>LAB/OH-Mortar</v>
      </c>
      <c r="I288" s="32"/>
      <c r="J288" s="32" t="str">
        <f t="shared" si="43"/>
        <v>H</v>
      </c>
      <c r="K288" s="32" t="str">
        <f>VLOOKUP(H288,'Full Item list'!B:O,14,0)</f>
        <v>H</v>
      </c>
      <c r="L288" s="32"/>
      <c r="O288">
        <f>IFERROR(IF(J288="KG",VLOOKUP(H288,'Cost Price New'!D:E,2,0),VLOOKUP('BOMs setting'!H288,'Cost Price New'!D:I,6,0)),VLOOKUP(H288,A:R,18,0))</f>
        <v>491.06624039126103</v>
      </c>
      <c r="V288" t="s">
        <v>603</v>
      </c>
      <c r="W288" s="135" t="s">
        <v>604</v>
      </c>
      <c r="AA288" t="str">
        <f>IFERROR(VLOOKUP(A288,'Capacity of production'!A:C,3,0),"")</f>
        <v/>
      </c>
    </row>
    <row r="289" spans="1:27" ht="15">
      <c r="B289" s="54"/>
      <c r="C289" s="55"/>
      <c r="D289" s="56"/>
      <c r="E289" s="56" t="s">
        <v>466</v>
      </c>
      <c r="F289" s="56">
        <f ca="1">SUM(E282:E288)</f>
        <v>194.66567145885705</v>
      </c>
      <c r="G289" s="55"/>
      <c r="H289" s="55"/>
      <c r="I289" s="55"/>
      <c r="J289" s="55"/>
      <c r="K289" s="55"/>
      <c r="L289" s="55"/>
      <c r="V289" t="s">
        <v>603</v>
      </c>
      <c r="W289" s="135" t="s">
        <v>604</v>
      </c>
      <c r="AA289" t="str">
        <f>IFERROR(VLOOKUP(A289,'Capacity of production'!A:C,3,0),"")</f>
        <v/>
      </c>
    </row>
    <row r="290" spans="1:27" ht="15.75" thickBot="1">
      <c r="B290" s="54"/>
      <c r="C290" s="55"/>
      <c r="D290" s="56"/>
      <c r="E290" s="56"/>
      <c r="F290" s="56"/>
      <c r="G290" s="55"/>
      <c r="H290" s="55"/>
      <c r="I290" s="55"/>
      <c r="J290" s="55"/>
      <c r="K290" s="55"/>
      <c r="L290" s="55"/>
      <c r="V290" t="s">
        <v>603</v>
      </c>
      <c r="W290" s="135" t="s">
        <v>604</v>
      </c>
      <c r="AA290" t="str">
        <f>IFERROR(VLOOKUP(A290,'Capacity of production'!A:C,3,0),"")</f>
        <v/>
      </c>
    </row>
    <row r="291" spans="1:27" ht="16.5" thickBot="1">
      <c r="A291" t="str">
        <f>B291</f>
        <v>MO043F</v>
      </c>
      <c r="B291" s="20" t="s">
        <v>152</v>
      </c>
      <c r="C291" s="288" t="str">
        <f>VLOOKUP(A291,'All products'!A:B,2,0)</f>
        <v>TECNOGROUT-N/PR (25KG)</v>
      </c>
      <c r="D291" s="288"/>
      <c r="E291" s="288"/>
      <c r="F291" s="289"/>
      <c r="G291" s="21">
        <v>1</v>
      </c>
      <c r="H291" s="21" t="str">
        <f>VLOOKUP(B291,'Full Item list'!A:B,2,0)</f>
        <v>MO043F</v>
      </c>
      <c r="I291" s="21">
        <f>VLOOKUP(H291,'Full Item list'!B:J,9,0)</f>
        <v>25</v>
      </c>
      <c r="J291" s="21"/>
      <c r="K291" s="21" t="str">
        <f>VLOOKUP(H291,'Full Item list'!B:O,14,0)</f>
        <v>PCS</v>
      </c>
      <c r="L291" s="21"/>
      <c r="M291">
        <f>O291/P291</f>
        <v>0</v>
      </c>
      <c r="N291" t="e">
        <f>VLOOKUP(B291,#REF!,9,0)</f>
        <v>#REF!</v>
      </c>
      <c r="P291">
        <v>25</v>
      </c>
      <c r="Q291">
        <f>SUM(D293:D296)</f>
        <v>25</v>
      </c>
      <c r="R291">
        <f ca="1">OFFSET(F291,MATCH("Total Cost:",E291:E370,0)-1,0,1,1)/G291</f>
        <v>4.9390196057045141</v>
      </c>
      <c r="U291" t="str">
        <f>VLOOKUP(H291,'Full Item list'!B:D,3,0)</f>
        <v>Product</v>
      </c>
      <c r="V291" t="s">
        <v>603</v>
      </c>
      <c r="W291" s="135" t="s">
        <v>604</v>
      </c>
      <c r="X291" t="s">
        <v>606</v>
      </c>
      <c r="AA291">
        <f>IFERROR(VLOOKUP(A291,'Capacity of production'!A:C,3,0),"")</f>
        <v>4000</v>
      </c>
    </row>
    <row r="292" spans="1:27" ht="15" thickBot="1">
      <c r="B292" s="23" t="s">
        <v>319</v>
      </c>
      <c r="C292" s="24" t="s">
        <v>320</v>
      </c>
      <c r="D292" s="25" t="s">
        <v>321</v>
      </c>
      <c r="E292" s="25" t="s">
        <v>322</v>
      </c>
      <c r="F292" s="26" t="s">
        <v>323</v>
      </c>
      <c r="G292" s="27"/>
      <c r="H292" s="27"/>
      <c r="I292" s="27"/>
      <c r="J292" s="27"/>
      <c r="K292" s="27"/>
      <c r="L292" s="27"/>
      <c r="V292" t="s">
        <v>603</v>
      </c>
      <c r="W292" s="135" t="s">
        <v>604</v>
      </c>
      <c r="AA292" t="str">
        <f>IFERROR(VLOOKUP(A292,'Capacity of production'!A:C,3,0),"")</f>
        <v/>
      </c>
    </row>
    <row r="293" spans="1:27" ht="15.75" thickBot="1">
      <c r="B293" s="20" t="s">
        <v>575</v>
      </c>
      <c r="C293" s="55" t="str">
        <f>VLOOKUP(B293,'All products'!A:B,2,0)</f>
        <v>TECNOGROUT-N/PR (KG)</v>
      </c>
      <c r="D293" s="43">
        <v>25</v>
      </c>
      <c r="E293" s="31">
        <f ca="1">O293*D293</f>
        <v>4.9390196057045141</v>
      </c>
      <c r="F293" s="45"/>
      <c r="G293" s="32"/>
      <c r="H293" s="32" t="str">
        <f>VLOOKUP(B293,'Full Item list'!A:B,2,0)</f>
        <v>MO043F-1</v>
      </c>
      <c r="I293" s="32"/>
      <c r="J293" s="32" t="str">
        <f>K293</f>
        <v>KG</v>
      </c>
      <c r="K293" s="32" t="str">
        <f>VLOOKUP(H293,'Full Item list'!B:O,14,0)</f>
        <v>KG</v>
      </c>
      <c r="L293" s="32"/>
      <c r="M293">
        <f ca="1">O293/P293</f>
        <v>7.9024313691272233E-3</v>
      </c>
      <c r="N293" t="e">
        <f>VLOOKUP(B293,#REF!,9,0)</f>
        <v>#REF!</v>
      </c>
      <c r="O293">
        <f ca="1">IFERROR(IF(J293="KG",VLOOKUP(H293,'Cost Price New'!D:E,2,0),VLOOKUP('BOMs setting'!H293,'Cost Price New'!D:I,6,0)),VLOOKUP(H293,A:R,18,0))</f>
        <v>0.19756078422818057</v>
      </c>
      <c r="P293">
        <v>25</v>
      </c>
      <c r="Q293">
        <v>1</v>
      </c>
      <c r="V293" t="s">
        <v>603</v>
      </c>
      <c r="W293" s="135" t="s">
        <v>604</v>
      </c>
      <c r="AA293" t="str">
        <f>IFERROR(VLOOKUP(A293,'Capacity of production'!A:C,3,0),"")</f>
        <v/>
      </c>
    </row>
    <row r="294" spans="1:27" ht="15">
      <c r="B294" s="54"/>
      <c r="C294" s="55"/>
      <c r="D294" s="56"/>
      <c r="E294" s="56" t="s">
        <v>466</v>
      </c>
      <c r="F294" s="56">
        <f ca="1">E293</f>
        <v>4.9390196057045141</v>
      </c>
      <c r="G294" s="55"/>
      <c r="H294" s="55"/>
      <c r="I294" s="55"/>
      <c r="J294" s="55"/>
      <c r="K294" s="55"/>
      <c r="L294" s="55"/>
      <c r="V294" t="s">
        <v>603</v>
      </c>
      <c r="W294" s="135" t="s">
        <v>604</v>
      </c>
      <c r="AA294" t="str">
        <f>IFERROR(VLOOKUP(A294,'Capacity of production'!A:C,3,0),"")</f>
        <v/>
      </c>
    </row>
    <row r="295" spans="1:27" ht="15.75" thickBot="1">
      <c r="B295" s="54"/>
      <c r="C295" s="55"/>
      <c r="D295" s="55"/>
      <c r="E295" s="56"/>
      <c r="F295" s="55"/>
      <c r="G295" s="55"/>
      <c r="H295" s="55"/>
      <c r="I295" s="55"/>
      <c r="J295" s="55"/>
      <c r="K295" s="55"/>
      <c r="L295" s="55"/>
      <c r="V295" t="s">
        <v>603</v>
      </c>
      <c r="W295" s="135" t="s">
        <v>604</v>
      </c>
      <c r="AA295" t="str">
        <f>IFERROR(VLOOKUP(A295,'Capacity of production'!A:C,3,0),"")</f>
        <v/>
      </c>
    </row>
    <row r="296" spans="1:27" ht="16.5" thickBot="1">
      <c r="A296" t="str">
        <f>B296</f>
        <v>MO043F-1</v>
      </c>
      <c r="B296" s="20" t="s">
        <v>575</v>
      </c>
      <c r="C296" s="294" t="str">
        <f>VLOOKUP(A296,'All products'!A:B,2,0)</f>
        <v>TECNOGROUT-N/PR (KG)</v>
      </c>
      <c r="D296" s="295"/>
      <c r="E296" s="295"/>
      <c r="F296" s="296"/>
      <c r="G296" s="21">
        <f>Q296</f>
        <v>1003.43</v>
      </c>
      <c r="H296" s="21" t="str">
        <f>VLOOKUP(B296,'Full Item list'!A:B,2,0)</f>
        <v>MO043F-1</v>
      </c>
      <c r="I296" s="21">
        <f>VLOOKUP(H296,'Full Item list'!B:J,9,0)</f>
        <v>1</v>
      </c>
      <c r="J296" s="21"/>
      <c r="K296" s="21" t="str">
        <f>VLOOKUP(H296,'Full Item list'!B:O,14,0)</f>
        <v>KG</v>
      </c>
      <c r="L296" s="21"/>
      <c r="M296">
        <f>O296/P296</f>
        <v>0</v>
      </c>
      <c r="N296" t="e">
        <f>VLOOKUP(B296,#REF!,9,0)</f>
        <v>#REF!</v>
      </c>
      <c r="P296">
        <v>25</v>
      </c>
      <c r="Q296">
        <f>SUM(D298:D302)</f>
        <v>1003.43</v>
      </c>
      <c r="R296">
        <f ca="1">OFFSET(F296,MATCH("Total Cost:",E296:E366,0)-1,0,1,1)/G296</f>
        <v>0.19756078422818057</v>
      </c>
      <c r="U296" t="str">
        <f>VLOOKUP(H296,'Full Item list'!B:D,3,0)</f>
        <v>Component</v>
      </c>
      <c r="V296" t="s">
        <v>603</v>
      </c>
      <c r="W296" s="135" t="s">
        <v>604</v>
      </c>
      <c r="X296" t="s">
        <v>606</v>
      </c>
      <c r="Y296">
        <v>1</v>
      </c>
      <c r="AA296" t="str">
        <f>IFERROR(VLOOKUP(A296,'Capacity of production'!A:C,3,0),"")</f>
        <v/>
      </c>
    </row>
    <row r="297" spans="1:27" ht="15" thickBot="1">
      <c r="B297" s="68" t="s">
        <v>319</v>
      </c>
      <c r="C297" s="69" t="s">
        <v>320</v>
      </c>
      <c r="D297" s="70" t="s">
        <v>321</v>
      </c>
      <c r="E297" s="70" t="s">
        <v>322</v>
      </c>
      <c r="F297" s="26" t="s">
        <v>323</v>
      </c>
      <c r="G297" s="27"/>
      <c r="H297" s="27"/>
      <c r="I297" s="27"/>
      <c r="J297" s="27"/>
      <c r="K297" s="27"/>
      <c r="L297" s="27"/>
      <c r="V297" t="s">
        <v>603</v>
      </c>
      <c r="W297" s="135" t="s">
        <v>604</v>
      </c>
      <c r="AA297" t="str">
        <f>IFERROR(VLOOKUP(A297,'Capacity of production'!A:C,3,0),"")</f>
        <v/>
      </c>
    </row>
    <row r="298" spans="1:27" ht="15.75" thickBot="1">
      <c r="B298" s="80" t="s">
        <v>348</v>
      </c>
      <c r="C298" s="81" t="s">
        <v>98</v>
      </c>
      <c r="D298" s="82">
        <v>50</v>
      </c>
      <c r="E298" s="31">
        <f t="shared" ref="E298:E303" si="45">O298*D298</f>
        <v>11.555</v>
      </c>
      <c r="F298" s="303"/>
      <c r="H298" s="36" t="str">
        <f>VLOOKUP(B298,'Full Item list'!A:B,2,0)</f>
        <v>CE-070</v>
      </c>
      <c r="I298" s="36"/>
      <c r="J298" s="32" t="str">
        <f t="shared" ref="J298:J303" si="46">K298</f>
        <v>KG</v>
      </c>
      <c r="K298" s="36" t="str">
        <f>VLOOKUP(H298,'Full Item list'!B:O,14,0)</f>
        <v>KG</v>
      </c>
      <c r="L298" s="36">
        <v>5</v>
      </c>
      <c r="M298" s="22" t="e">
        <f>O298/P298</f>
        <v>#DIV/0!</v>
      </c>
      <c r="N298" s="22" t="e">
        <f>VLOOKUP(B298,#REF!,9,0)</f>
        <v>#REF!</v>
      </c>
      <c r="O298">
        <f>IFERROR(IF(J298="KG",VLOOKUP(H298,'Cost Price New'!D:E,2,0),VLOOKUP('BOMs setting'!H298,'Cost Price New'!D:I,6,0)),VLOOKUP(H298,A:R,18,0))</f>
        <v>0.2311</v>
      </c>
      <c r="P298" s="22"/>
      <c r="Q298">
        <v>1003.43</v>
      </c>
      <c r="V298" t="s">
        <v>602</v>
      </c>
      <c r="W298" s="135" t="s">
        <v>605</v>
      </c>
      <c r="AA298" t="str">
        <f>IFERROR(VLOOKUP(A298,'Capacity of production'!A:C,3,0),"")</f>
        <v/>
      </c>
    </row>
    <row r="299" spans="1:27" ht="15.75" thickBot="1">
      <c r="B299" s="67" t="s">
        <v>343</v>
      </c>
      <c r="C299" s="72" t="s">
        <v>101</v>
      </c>
      <c r="D299" s="73">
        <v>300</v>
      </c>
      <c r="E299" s="31">
        <f t="shared" si="45"/>
        <v>30</v>
      </c>
      <c r="F299" s="304"/>
      <c r="H299" s="36" t="str">
        <f>VLOOKUP(B299,'Full Item list'!A:B,2,0)</f>
        <v>CE-080</v>
      </c>
      <c r="I299" s="36"/>
      <c r="J299" s="32" t="str">
        <f t="shared" si="46"/>
        <v>KG</v>
      </c>
      <c r="K299" s="36" t="str">
        <f>VLOOKUP(H299,'Full Item list'!B:O,14,0)</f>
        <v>KG</v>
      </c>
      <c r="L299" s="36">
        <v>5</v>
      </c>
      <c r="M299" s="22" t="e">
        <f>O299/P299</f>
        <v>#DIV/0!</v>
      </c>
      <c r="N299" s="22" t="e">
        <f>VLOOKUP(B299,#REF!,9,0)</f>
        <v>#REF!</v>
      </c>
      <c r="O299">
        <f>IFERROR(IF(J299="KG",VLOOKUP(H299,'Cost Price New'!D:E,2,0),VLOOKUP('BOMs setting'!H299,'Cost Price New'!D:I,6,0)),VLOOKUP(H299,A:R,18,0))</f>
        <v>0.1</v>
      </c>
      <c r="P299" s="22"/>
      <c r="Q299">
        <v>1003.43</v>
      </c>
      <c r="V299" t="s">
        <v>602</v>
      </c>
      <c r="W299" s="135" t="s">
        <v>605</v>
      </c>
      <c r="AA299" t="str">
        <f>IFERROR(VLOOKUP(A299,'Capacity of production'!A:C,3,0),"")</f>
        <v/>
      </c>
    </row>
    <row r="300" spans="1:27" ht="15.75" thickBot="1">
      <c r="B300" s="67" t="s">
        <v>338</v>
      </c>
      <c r="C300" s="74" t="s">
        <v>117</v>
      </c>
      <c r="D300" s="34">
        <v>300</v>
      </c>
      <c r="E300" s="31">
        <f t="shared" si="45"/>
        <v>10.500000000000002</v>
      </c>
      <c r="F300" s="304"/>
      <c r="H300" s="36" t="str">
        <f>VLOOKUP(B300,'Full Item list'!A:B,2,0)</f>
        <v>FS-550</v>
      </c>
      <c r="I300" s="36"/>
      <c r="J300" s="32" t="str">
        <f t="shared" si="46"/>
        <v>KG</v>
      </c>
      <c r="K300" s="36" t="str">
        <f>VLOOKUP(H300,'Full Item list'!B:O,14,0)</f>
        <v>KG</v>
      </c>
      <c r="L300" s="36">
        <v>5</v>
      </c>
      <c r="M300" s="22" t="e">
        <f>O300/P300</f>
        <v>#DIV/0!</v>
      </c>
      <c r="N300" s="22" t="e">
        <f>VLOOKUP(B300,#REF!,9,0)</f>
        <v>#REF!</v>
      </c>
      <c r="O300">
        <f>IFERROR(IF(J300="KG",VLOOKUP(H300,'Cost Price New'!D:E,2,0),VLOOKUP('BOMs setting'!H300,'Cost Price New'!D:I,6,0)),VLOOKUP(H300,A:R,18,0))</f>
        <v>3.5000000000000003E-2</v>
      </c>
      <c r="P300" s="22"/>
      <c r="Q300">
        <v>1003.43</v>
      </c>
      <c r="V300" t="s">
        <v>602</v>
      </c>
      <c r="W300" s="135" t="s">
        <v>605</v>
      </c>
      <c r="AA300" t="str">
        <f>IFERROR(VLOOKUP(A300,'Capacity of production'!A:C,3,0),"")</f>
        <v/>
      </c>
    </row>
    <row r="301" spans="1:27" ht="15.75" thickBot="1">
      <c r="B301" s="67" t="s">
        <v>339</v>
      </c>
      <c r="C301" s="74" t="s">
        <v>119</v>
      </c>
      <c r="D301" s="34">
        <v>350</v>
      </c>
      <c r="E301" s="31">
        <f t="shared" si="45"/>
        <v>12.250000000000002</v>
      </c>
      <c r="F301" s="304"/>
      <c r="H301" s="36" t="str">
        <f>VLOOKUP(B301,'Full Item list'!A:B,2,0)</f>
        <v>FS-560</v>
      </c>
      <c r="I301" s="36"/>
      <c r="J301" s="32" t="str">
        <f t="shared" si="46"/>
        <v>KG</v>
      </c>
      <c r="K301" s="36" t="str">
        <f>VLOOKUP(H301,'Full Item list'!B:O,14,0)</f>
        <v>KG</v>
      </c>
      <c r="L301" s="36">
        <v>5</v>
      </c>
      <c r="M301" s="22" t="e">
        <f>O301/P301</f>
        <v>#DIV/0!</v>
      </c>
      <c r="N301" s="22" t="e">
        <f>VLOOKUP(B301,#REF!,9,0)</f>
        <v>#REF!</v>
      </c>
      <c r="O301">
        <f>IFERROR(IF(J301="KG",VLOOKUP(H301,'Cost Price New'!D:E,2,0),VLOOKUP('BOMs setting'!H301,'Cost Price New'!D:I,6,0)),VLOOKUP(H301,A:R,18,0))</f>
        <v>3.5000000000000003E-2</v>
      </c>
      <c r="P301" s="22"/>
      <c r="Q301">
        <v>1003.43</v>
      </c>
      <c r="V301" t="s">
        <v>602</v>
      </c>
      <c r="W301" s="135" t="s">
        <v>605</v>
      </c>
      <c r="AA301" t="str">
        <f>IFERROR(VLOOKUP(A301,'Capacity of production'!A:C,3,0),"")</f>
        <v/>
      </c>
    </row>
    <row r="302" spans="1:27" ht="15.75" thickBot="1">
      <c r="B302" s="83" t="s">
        <v>239</v>
      </c>
      <c r="C302" s="76" t="s">
        <v>240</v>
      </c>
      <c r="D302" s="39">
        <v>3.4300000000000006</v>
      </c>
      <c r="E302" s="31">
        <f t="shared" ca="1" si="45"/>
        <v>10.745768319132457</v>
      </c>
      <c r="F302" s="305"/>
      <c r="H302" s="36" t="str">
        <f>VLOOKUP(B302,'Full Item list'!A:B,2,0)</f>
        <v>SPMO001</v>
      </c>
      <c r="I302" s="36"/>
      <c r="J302" s="32" t="str">
        <f t="shared" si="46"/>
        <v>KG</v>
      </c>
      <c r="K302" s="36" t="str">
        <f>VLOOKUP(H302,'Full Item list'!B:O,14,0)</f>
        <v>KG</v>
      </c>
      <c r="L302" s="36">
        <v>0.1</v>
      </c>
      <c r="M302">
        <f ca="1">O302/P302</f>
        <v>1.5664385304857805E-2</v>
      </c>
      <c r="N302" t="e">
        <f>VLOOKUP(B302,#REF!,9,0)</f>
        <v>#REF!</v>
      </c>
      <c r="O302">
        <f ca="1">IFERROR(IF(J302="KG",VLOOKUP(H302,'Cost Price New'!D:E,2,0),VLOOKUP('BOMs setting'!H302,'Cost Price New'!D:I,6,0)),VLOOKUP(H302,A:R,18,0))</f>
        <v>3.1328770609715613</v>
      </c>
      <c r="P302">
        <v>200</v>
      </c>
      <c r="Q302">
        <v>1003.43</v>
      </c>
      <c r="V302" t="s">
        <v>603</v>
      </c>
      <c r="W302" s="135" t="s">
        <v>604</v>
      </c>
      <c r="AA302" t="str">
        <f>IFERROR(VLOOKUP(A302,'Capacity of production'!A:C,3,0),"")</f>
        <v/>
      </c>
    </row>
    <row r="303" spans="1:27" ht="15.75" thickBot="1">
      <c r="B303" s="41" t="s">
        <v>310</v>
      </c>
      <c r="C303" s="42" t="s">
        <v>312</v>
      </c>
      <c r="D303" s="284">
        <f>G296/AA291</f>
        <v>0.25085750000000001</v>
      </c>
      <c r="E303" s="31">
        <f t="shared" si="45"/>
        <v>123.18764939895077</v>
      </c>
      <c r="F303" s="45" t="s">
        <v>782</v>
      </c>
      <c r="G303" s="32"/>
      <c r="H303" s="32" t="str">
        <f>VLOOKUP(B303,'Full Item list'!A:B,2,0)</f>
        <v>LAB/OH-Mortar</v>
      </c>
      <c r="I303" s="32"/>
      <c r="J303" s="32" t="str">
        <f t="shared" si="46"/>
        <v>H</v>
      </c>
      <c r="K303" s="32" t="str">
        <f>VLOOKUP(H303,'Full Item list'!B:O,14,0)</f>
        <v>H</v>
      </c>
      <c r="L303" s="32"/>
      <c r="O303">
        <f>IFERROR(IF(J303="KG",VLOOKUP(H303,'Cost Price New'!D:E,2,0),VLOOKUP('BOMs setting'!H303,'Cost Price New'!D:I,6,0)),VLOOKUP(H303,A:R,18,0))</f>
        <v>491.06624039126103</v>
      </c>
      <c r="V303" t="s">
        <v>603</v>
      </c>
      <c r="W303" s="135" t="s">
        <v>604</v>
      </c>
      <c r="AA303" t="str">
        <f>IFERROR(VLOOKUP(A303,'Capacity of production'!A:C,3,0),"")</f>
        <v/>
      </c>
    </row>
    <row r="304" spans="1:27" ht="15">
      <c r="B304" s="54"/>
      <c r="C304" s="55"/>
      <c r="D304" s="56"/>
      <c r="E304" s="56" t="s">
        <v>466</v>
      </c>
      <c r="F304" s="56">
        <f ca="1">SUM(E298:E303)</f>
        <v>198.23841771808321</v>
      </c>
      <c r="G304" s="55"/>
      <c r="H304" s="55"/>
      <c r="I304" s="55"/>
      <c r="J304" s="55"/>
      <c r="K304" s="55"/>
      <c r="L304" s="55"/>
      <c r="V304" t="s">
        <v>603</v>
      </c>
      <c r="W304" s="135" t="s">
        <v>604</v>
      </c>
      <c r="AA304" t="str">
        <f>IFERROR(VLOOKUP(A304,'Capacity of production'!A:C,3,0),"")</f>
        <v/>
      </c>
    </row>
    <row r="305" spans="1:27" ht="15.75" thickBot="1">
      <c r="B305" s="54"/>
      <c r="C305" s="55"/>
      <c r="D305" s="56"/>
      <c r="E305" s="56"/>
      <c r="F305" s="56"/>
      <c r="G305" s="55"/>
      <c r="H305" s="55"/>
      <c r="I305" s="55"/>
      <c r="J305" s="55"/>
      <c r="K305" s="55"/>
      <c r="L305" s="55"/>
      <c r="V305" t="s">
        <v>603</v>
      </c>
      <c r="W305" s="135" t="s">
        <v>604</v>
      </c>
      <c r="AA305" t="str">
        <f>IFERROR(VLOOKUP(A305,'Capacity of production'!A:C,3,0),"")</f>
        <v/>
      </c>
    </row>
    <row r="306" spans="1:27" ht="16.5" thickBot="1">
      <c r="A306" t="str">
        <f>B306</f>
        <v>MO045F</v>
      </c>
      <c r="B306" s="20" t="s">
        <v>154</v>
      </c>
      <c r="C306" s="288" t="str">
        <f>VLOOKUP(A306,'All products'!A:B,2,0)</f>
        <v>TECNOGROUT-N/GR (25KG)</v>
      </c>
      <c r="D306" s="288"/>
      <c r="E306" s="288"/>
      <c r="F306" s="289"/>
      <c r="G306" s="21">
        <v>1</v>
      </c>
      <c r="H306" s="21" t="str">
        <f>VLOOKUP(B306,'Full Item list'!A:B,2,0)</f>
        <v>MO045F</v>
      </c>
      <c r="I306" s="21">
        <f>VLOOKUP(H306,'Full Item list'!B:J,9,0)</f>
        <v>25</v>
      </c>
      <c r="J306" s="21"/>
      <c r="K306" s="21" t="str">
        <f>VLOOKUP(H306,'Full Item list'!B:O,14,0)</f>
        <v>PCS</v>
      </c>
      <c r="L306" s="21"/>
      <c r="M306">
        <f>O306/P306</f>
        <v>0</v>
      </c>
      <c r="N306" t="e">
        <f>VLOOKUP(B306,#REF!,9,0)</f>
        <v>#REF!</v>
      </c>
      <c r="P306">
        <v>25</v>
      </c>
      <c r="Q306">
        <f>SUM(D308:D309)</f>
        <v>25</v>
      </c>
      <c r="R306">
        <f ca="1">OFFSET(F306,MATCH("Total Cost:",E306:E390,0)-1,0,1,1)/G306</f>
        <v>4.6243800049383035</v>
      </c>
      <c r="U306" t="str">
        <f>VLOOKUP(H306,'Full Item list'!B:D,3,0)</f>
        <v>Product</v>
      </c>
      <c r="V306" t="s">
        <v>603</v>
      </c>
      <c r="W306" s="135" t="s">
        <v>604</v>
      </c>
      <c r="X306" t="s">
        <v>606</v>
      </c>
      <c r="AA306">
        <f>IFERROR(VLOOKUP(A306,'Capacity of production'!A:C,3,0),"")</f>
        <v>4000</v>
      </c>
    </row>
    <row r="307" spans="1:27" ht="15" thickBot="1">
      <c r="B307" s="23" t="s">
        <v>319</v>
      </c>
      <c r="C307" s="24" t="s">
        <v>320</v>
      </c>
      <c r="D307" s="25" t="s">
        <v>321</v>
      </c>
      <c r="E307" s="25" t="s">
        <v>322</v>
      </c>
      <c r="F307" s="26" t="s">
        <v>323</v>
      </c>
      <c r="G307" s="27"/>
      <c r="H307" s="27"/>
      <c r="I307" s="27"/>
      <c r="J307" s="27"/>
      <c r="K307" s="27"/>
      <c r="L307" s="27"/>
      <c r="V307" t="s">
        <v>603</v>
      </c>
      <c r="W307" s="135" t="s">
        <v>604</v>
      </c>
      <c r="AA307" t="str">
        <f>IFERROR(VLOOKUP(A307,'Capacity of production'!A:C,3,0),"")</f>
        <v/>
      </c>
    </row>
    <row r="308" spans="1:27" ht="15.75" thickBot="1">
      <c r="B308" s="20" t="s">
        <v>576</v>
      </c>
      <c r="C308" s="55" t="str">
        <f>VLOOKUP(B308,'All products'!A:B,2,0)</f>
        <v>TECNOGROUT-N/GR (KG)</v>
      </c>
      <c r="D308" s="43">
        <v>25</v>
      </c>
      <c r="E308" s="31">
        <f ca="1">O308*D308</f>
        <v>4.6243800049383035</v>
      </c>
      <c r="F308" s="45"/>
      <c r="G308" s="32"/>
      <c r="H308" s="32" t="str">
        <f>VLOOKUP(B308,'Full Item list'!A:B,2,0)</f>
        <v>MO045F-1</v>
      </c>
      <c r="I308" s="32"/>
      <c r="J308" s="32" t="str">
        <f>K308</f>
        <v>KG</v>
      </c>
      <c r="K308" s="32" t="str">
        <f>VLOOKUP(H308,'Full Item list'!B:O,14,0)</f>
        <v>KG</v>
      </c>
      <c r="L308" s="32"/>
      <c r="M308">
        <f ca="1">O308/P308</f>
        <v>7.3990080079012858E-3</v>
      </c>
      <c r="N308" t="e">
        <f>VLOOKUP(B308,#REF!,9,0)</f>
        <v>#REF!</v>
      </c>
      <c r="O308">
        <f ca="1">IFERROR(IF(J308="KG",VLOOKUP(H308,'Cost Price New'!D:E,2,0),VLOOKUP('BOMs setting'!H308,'Cost Price New'!D:I,6,0)),VLOOKUP(H308,A:R,18,0))</f>
        <v>0.18497520019753214</v>
      </c>
      <c r="P308">
        <v>25</v>
      </c>
      <c r="Q308">
        <v>1</v>
      </c>
      <c r="V308" t="s">
        <v>603</v>
      </c>
      <c r="W308" s="135" t="s">
        <v>604</v>
      </c>
      <c r="AA308" t="str">
        <f>IFERROR(VLOOKUP(A308,'Capacity of production'!A:C,3,0),"")</f>
        <v/>
      </c>
    </row>
    <row r="309" spans="1:27" ht="15">
      <c r="B309" s="54"/>
      <c r="C309" s="55"/>
      <c r="D309" s="56"/>
      <c r="E309" s="56" t="s">
        <v>466</v>
      </c>
      <c r="F309" s="56">
        <f ca="1">E308</f>
        <v>4.6243800049383035</v>
      </c>
      <c r="G309" s="55"/>
      <c r="H309" s="55"/>
      <c r="I309" s="55"/>
      <c r="J309" s="55"/>
      <c r="K309" s="55"/>
      <c r="L309" s="55"/>
      <c r="V309" t="s">
        <v>603</v>
      </c>
      <c r="W309" s="135" t="s">
        <v>604</v>
      </c>
      <c r="AA309" t="str">
        <f>IFERROR(VLOOKUP(A309,'Capacity of production'!A:C,3,0),"")</f>
        <v/>
      </c>
    </row>
    <row r="310" spans="1:27" ht="15.75" thickBot="1">
      <c r="B310" s="54"/>
      <c r="C310" s="55"/>
      <c r="D310" s="55"/>
      <c r="E310" s="56"/>
      <c r="F310" s="55"/>
      <c r="G310" s="55"/>
      <c r="H310" s="55"/>
      <c r="I310" s="55"/>
      <c r="J310" s="55"/>
      <c r="K310" s="55"/>
      <c r="L310" s="55"/>
      <c r="V310" t="s">
        <v>603</v>
      </c>
      <c r="W310" s="135" t="s">
        <v>604</v>
      </c>
      <c r="AA310" t="str">
        <f>IFERROR(VLOOKUP(A310,'Capacity of production'!A:C,3,0),"")</f>
        <v/>
      </c>
    </row>
    <row r="311" spans="1:27" ht="16.5" thickBot="1">
      <c r="A311" t="str">
        <f>B311</f>
        <v>MO045F-1</v>
      </c>
      <c r="B311" s="20" t="s">
        <v>576</v>
      </c>
      <c r="C311" s="288" t="str">
        <f>VLOOKUP(A311,'All products'!A:B,2,0)</f>
        <v>TECNOGROUT-N/GR (KG)</v>
      </c>
      <c r="D311" s="288"/>
      <c r="E311" s="288"/>
      <c r="F311" s="289"/>
      <c r="G311" s="21">
        <f>Q311</f>
        <v>1053.0999999999999</v>
      </c>
      <c r="H311" s="21" t="str">
        <f>VLOOKUP(B311,'Full Item list'!A:B,2,0)</f>
        <v>MO045F-1</v>
      </c>
      <c r="I311" s="21">
        <f>VLOOKUP(H311,'Full Item list'!B:J,9,0)</f>
        <v>1</v>
      </c>
      <c r="J311" s="21"/>
      <c r="K311" s="21" t="str">
        <f>VLOOKUP(H311,'Full Item list'!B:O,14,0)</f>
        <v>KG</v>
      </c>
      <c r="L311" s="21"/>
      <c r="M311">
        <f t="shared" ref="M311:M402" si="47">O311/P311</f>
        <v>0</v>
      </c>
      <c r="N311" t="e">
        <f>VLOOKUP(B311,#REF!,9,0)</f>
        <v>#REF!</v>
      </c>
      <c r="P311">
        <v>25</v>
      </c>
      <c r="Q311">
        <f>SUM(D313:D319)</f>
        <v>1053.0999999999999</v>
      </c>
      <c r="R311">
        <f ca="1">OFFSET(F311,MATCH("Total Cost:",E311:E381,0)-1,0,1,1)/G311</f>
        <v>0.18497520019753214</v>
      </c>
      <c r="U311" t="str">
        <f>VLOOKUP(H311,'Full Item list'!B:D,3,0)</f>
        <v>Component</v>
      </c>
      <c r="V311" t="s">
        <v>603</v>
      </c>
      <c r="W311" s="135" t="s">
        <v>604</v>
      </c>
      <c r="X311" t="s">
        <v>606</v>
      </c>
      <c r="Y311" t="s">
        <v>573</v>
      </c>
      <c r="AA311" t="str">
        <f>IFERROR(VLOOKUP(A311,'Capacity of production'!A:C,3,0),"")</f>
        <v/>
      </c>
    </row>
    <row r="312" spans="1:27" ht="15" thickBot="1">
      <c r="B312" s="68" t="s">
        <v>319</v>
      </c>
      <c r="C312" s="69" t="s">
        <v>320</v>
      </c>
      <c r="D312" s="70" t="s">
        <v>321</v>
      </c>
      <c r="E312" s="70" t="s">
        <v>322</v>
      </c>
      <c r="F312" s="26" t="s">
        <v>323</v>
      </c>
      <c r="G312" s="27"/>
      <c r="H312" s="27"/>
      <c r="I312" s="27"/>
      <c r="J312" s="27"/>
      <c r="K312" s="27"/>
      <c r="L312" s="27"/>
      <c r="V312" t="s">
        <v>603</v>
      </c>
      <c r="W312" s="135" t="s">
        <v>604</v>
      </c>
      <c r="AA312" t="str">
        <f>IFERROR(VLOOKUP(A312,'Capacity of production'!A:C,3,0),"")</f>
        <v/>
      </c>
    </row>
    <row r="313" spans="1:27" ht="15.75" thickBot="1">
      <c r="B313" s="80" t="s">
        <v>343</v>
      </c>
      <c r="C313" s="72" t="s">
        <v>101</v>
      </c>
      <c r="D313" s="82">
        <v>300</v>
      </c>
      <c r="E313" s="31">
        <f t="shared" ref="E313:E320" si="48">O313*D313</f>
        <v>30</v>
      </c>
      <c r="F313" s="303"/>
      <c r="H313" s="36" t="str">
        <f>VLOOKUP(B313,'Full Item list'!A:B,2,0)</f>
        <v>CE-080</v>
      </c>
      <c r="I313" s="36"/>
      <c r="J313" s="32" t="str">
        <f t="shared" ref="J313:J320" si="49">K313</f>
        <v>KG</v>
      </c>
      <c r="K313" s="36" t="str">
        <f>VLOOKUP(H313,'Full Item list'!B:O,14,0)</f>
        <v>KG</v>
      </c>
      <c r="L313" s="36">
        <v>5</v>
      </c>
      <c r="M313" s="22" t="e">
        <f t="shared" si="47"/>
        <v>#DIV/0!</v>
      </c>
      <c r="N313" s="22" t="e">
        <f>VLOOKUP(B313,#REF!,9,0)</f>
        <v>#REF!</v>
      </c>
      <c r="O313">
        <f>IFERROR(IF(J313="KG",VLOOKUP(H313,'Cost Price New'!D:E,2,0),VLOOKUP('BOMs setting'!H313,'Cost Price New'!D:I,6,0)),VLOOKUP(H313,A:R,18,0))</f>
        <v>0.1</v>
      </c>
      <c r="P313" s="22"/>
      <c r="Q313">
        <v>1053.0999999999999</v>
      </c>
      <c r="V313" t="s">
        <v>602</v>
      </c>
      <c r="W313" s="135" t="s">
        <v>605</v>
      </c>
      <c r="AA313" t="str">
        <f>IFERROR(VLOOKUP(A313,'Capacity of production'!A:C,3,0),"")</f>
        <v/>
      </c>
    </row>
    <row r="314" spans="1:27" ht="15.75" thickBot="1">
      <c r="B314" s="67" t="s">
        <v>338</v>
      </c>
      <c r="C314" s="74" t="s">
        <v>117</v>
      </c>
      <c r="D314" s="73">
        <v>125</v>
      </c>
      <c r="E314" s="31">
        <f t="shared" si="48"/>
        <v>4.375</v>
      </c>
      <c r="F314" s="304"/>
      <c r="H314" s="36" t="str">
        <f>VLOOKUP(B314,'Full Item list'!A:B,2,0)</f>
        <v>FS-550</v>
      </c>
      <c r="I314" s="36"/>
      <c r="J314" s="32" t="str">
        <f t="shared" si="49"/>
        <v>KG</v>
      </c>
      <c r="K314" s="36" t="str">
        <f>VLOOKUP(H314,'Full Item list'!B:O,14,0)</f>
        <v>KG</v>
      </c>
      <c r="L314" s="36">
        <v>5</v>
      </c>
      <c r="M314" s="22" t="e">
        <f t="shared" si="47"/>
        <v>#DIV/0!</v>
      </c>
      <c r="N314" s="22" t="e">
        <f>VLOOKUP(B314,#REF!,9,0)</f>
        <v>#REF!</v>
      </c>
      <c r="O314">
        <f>IFERROR(IF(J314="KG",VLOOKUP(H314,'Cost Price New'!D:E,2,0),VLOOKUP('BOMs setting'!H314,'Cost Price New'!D:I,6,0)),VLOOKUP(H314,A:R,18,0))</f>
        <v>3.5000000000000003E-2</v>
      </c>
      <c r="P314" s="22"/>
      <c r="Q314">
        <v>1053.0999999999999</v>
      </c>
      <c r="V314" t="s">
        <v>602</v>
      </c>
      <c r="W314" s="135" t="s">
        <v>605</v>
      </c>
      <c r="AA314" t="str">
        <f>IFERROR(VLOOKUP(A314,'Capacity of production'!A:C,3,0),"")</f>
        <v/>
      </c>
    </row>
    <row r="315" spans="1:27" ht="15.75" thickBot="1">
      <c r="B315" s="67" t="s">
        <v>339</v>
      </c>
      <c r="C315" s="74" t="s">
        <v>119</v>
      </c>
      <c r="D315" s="34">
        <v>125</v>
      </c>
      <c r="E315" s="31">
        <f t="shared" si="48"/>
        <v>4.375</v>
      </c>
      <c r="F315" s="304"/>
      <c r="H315" s="36" t="str">
        <f>VLOOKUP(B315,'Full Item list'!A:B,2,0)</f>
        <v>FS-560</v>
      </c>
      <c r="I315" s="36"/>
      <c r="J315" s="32" t="str">
        <f t="shared" si="49"/>
        <v>KG</v>
      </c>
      <c r="K315" s="36" t="str">
        <f>VLOOKUP(H315,'Full Item list'!B:O,14,0)</f>
        <v>KG</v>
      </c>
      <c r="L315" s="36">
        <v>5</v>
      </c>
      <c r="M315" s="22" t="e">
        <f t="shared" si="47"/>
        <v>#DIV/0!</v>
      </c>
      <c r="N315" s="22" t="e">
        <f>VLOOKUP(B315,#REF!,9,0)</f>
        <v>#REF!</v>
      </c>
      <c r="O315">
        <f>IFERROR(IF(J315="KG",VLOOKUP(H315,'Cost Price New'!D:E,2,0),VLOOKUP('BOMs setting'!H315,'Cost Price New'!D:I,6,0)),VLOOKUP(H315,A:R,18,0))</f>
        <v>3.5000000000000003E-2</v>
      </c>
      <c r="P315" s="22"/>
      <c r="Q315">
        <v>1053.0999999999999</v>
      </c>
      <c r="V315" t="s">
        <v>602</v>
      </c>
      <c r="W315" s="135" t="s">
        <v>605</v>
      </c>
      <c r="AA315" t="str">
        <f>IFERROR(VLOOKUP(A315,'Capacity of production'!A:C,3,0),"")</f>
        <v/>
      </c>
    </row>
    <row r="316" spans="1:27" ht="15.75" thickBot="1">
      <c r="B316" s="67" t="s">
        <v>341</v>
      </c>
      <c r="C316" s="74" t="s">
        <v>121</v>
      </c>
      <c r="D316" s="34">
        <v>150</v>
      </c>
      <c r="E316" s="31">
        <f t="shared" si="48"/>
        <v>4.8</v>
      </c>
      <c r="F316" s="304"/>
      <c r="H316" s="36" t="str">
        <f>VLOOKUP(B316,'Full Item list'!A:B,2,0)</f>
        <v>FS-570</v>
      </c>
      <c r="I316" s="36"/>
      <c r="J316" s="32" t="str">
        <f t="shared" si="49"/>
        <v>KG</v>
      </c>
      <c r="K316" s="36" t="str">
        <f>VLOOKUP(H316,'Full Item list'!B:O,14,0)</f>
        <v>KG</v>
      </c>
      <c r="L316" s="36">
        <v>5</v>
      </c>
      <c r="M316" s="22" t="e">
        <f t="shared" si="47"/>
        <v>#DIV/0!</v>
      </c>
      <c r="N316" s="22" t="e">
        <f>VLOOKUP(B316,#REF!,9,0)</f>
        <v>#REF!</v>
      </c>
      <c r="O316">
        <f>IFERROR(IF(J316="KG",VLOOKUP(H316,'Cost Price New'!D:E,2,0),VLOOKUP('BOMs setting'!H316,'Cost Price New'!D:I,6,0)),VLOOKUP(H316,A:R,18,0))</f>
        <v>3.2000000000000001E-2</v>
      </c>
      <c r="P316" s="22"/>
      <c r="Q316">
        <v>1053.0999999999999</v>
      </c>
      <c r="V316" t="s">
        <v>602</v>
      </c>
      <c r="W316" s="135" t="s">
        <v>605</v>
      </c>
      <c r="AA316" t="str">
        <f>IFERROR(VLOOKUP(A316,'Capacity of production'!A:C,3,0),"")</f>
        <v/>
      </c>
    </row>
    <row r="317" spans="1:27" ht="15.75" thickBot="1">
      <c r="B317" s="67" t="s">
        <v>347</v>
      </c>
      <c r="C317" s="74" t="s">
        <v>123</v>
      </c>
      <c r="D317" s="34">
        <v>150</v>
      </c>
      <c r="E317" s="31">
        <f t="shared" si="48"/>
        <v>5.2500000000000009</v>
      </c>
      <c r="F317" s="304"/>
      <c r="H317" s="36" t="str">
        <f>VLOOKUP(B317,'Full Item list'!A:B,2,0)</f>
        <v>FS-580</v>
      </c>
      <c r="I317" s="36"/>
      <c r="J317" s="32" t="str">
        <f t="shared" si="49"/>
        <v>KG</v>
      </c>
      <c r="K317" s="36" t="str">
        <f>VLOOKUP(H317,'Full Item list'!B:O,14,0)</f>
        <v>KG</v>
      </c>
      <c r="L317" s="36">
        <v>5</v>
      </c>
      <c r="M317" s="22" t="e">
        <f t="shared" si="47"/>
        <v>#DIV/0!</v>
      </c>
      <c r="N317" s="22" t="e">
        <f>VLOOKUP(B317,#REF!,9,0)</f>
        <v>#REF!</v>
      </c>
      <c r="O317">
        <f>IFERROR(IF(J317="KG",VLOOKUP(H317,'Cost Price New'!D:E,2,0),VLOOKUP('BOMs setting'!H317,'Cost Price New'!D:I,6,0)),VLOOKUP(H317,A:R,18,0))</f>
        <v>3.5000000000000003E-2</v>
      </c>
      <c r="P317" s="22"/>
      <c r="Q317">
        <v>1053.0999999999999</v>
      </c>
      <c r="V317" t="s">
        <v>602</v>
      </c>
      <c r="W317" s="135" t="s">
        <v>605</v>
      </c>
      <c r="AA317" t="str">
        <f>IFERROR(VLOOKUP(A317,'Capacity of production'!A:C,3,0),"")</f>
        <v/>
      </c>
    </row>
    <row r="318" spans="1:27" ht="15.75" thickBot="1">
      <c r="B318" s="67" t="s">
        <v>349</v>
      </c>
      <c r="C318" s="74" t="s">
        <v>125</v>
      </c>
      <c r="D318" s="34">
        <v>200</v>
      </c>
      <c r="E318" s="31">
        <f t="shared" si="48"/>
        <v>7.0000000000000009</v>
      </c>
      <c r="F318" s="304"/>
      <c r="H318" s="36" t="str">
        <f>VLOOKUP(B318,'Full Item list'!A:B,2,0)</f>
        <v>FS-590</v>
      </c>
      <c r="I318" s="36"/>
      <c r="J318" s="32" t="str">
        <f t="shared" si="49"/>
        <v>KG</v>
      </c>
      <c r="K318" s="36" t="str">
        <f>VLOOKUP(H318,'Full Item list'!B:O,14,0)</f>
        <v>KG</v>
      </c>
      <c r="L318" s="36">
        <v>5</v>
      </c>
      <c r="M318" s="22" t="e">
        <f t="shared" si="47"/>
        <v>#DIV/0!</v>
      </c>
      <c r="N318" s="22" t="e">
        <f>VLOOKUP(B318,#REF!,9,0)</f>
        <v>#REF!</v>
      </c>
      <c r="O318">
        <f>IFERROR(IF(J318="KG",VLOOKUP(H318,'Cost Price New'!D:E,2,0),VLOOKUP('BOMs setting'!H318,'Cost Price New'!D:I,6,0)),VLOOKUP(H318,A:R,18,0))</f>
        <v>3.5000000000000003E-2</v>
      </c>
      <c r="P318" s="22"/>
      <c r="Q318">
        <v>1053.0999999999999</v>
      </c>
      <c r="V318" t="s">
        <v>603</v>
      </c>
      <c r="W318" s="135" t="s">
        <v>604</v>
      </c>
      <c r="AA318" t="str">
        <f>IFERROR(VLOOKUP(A318,'Capacity of production'!A:C,3,0),"")</f>
        <v/>
      </c>
    </row>
    <row r="319" spans="1:27" ht="15.75" thickBot="1">
      <c r="B319" s="75" t="s">
        <v>239</v>
      </c>
      <c r="C319" s="76" t="s">
        <v>240</v>
      </c>
      <c r="D319" s="39">
        <v>3.1</v>
      </c>
      <c r="E319" s="31">
        <f t="shared" ca="1" si="48"/>
        <v>9.7119188890118409</v>
      </c>
      <c r="F319" s="305"/>
      <c r="H319" s="36" t="str">
        <f>VLOOKUP(B319,'Full Item list'!A:B,2,0)</f>
        <v>SPMO001</v>
      </c>
      <c r="I319" s="36"/>
      <c r="J319" s="32" t="str">
        <f t="shared" si="49"/>
        <v>KG</v>
      </c>
      <c r="K319" s="36" t="str">
        <f>VLOOKUP(H319,'Full Item list'!B:O,14,0)</f>
        <v>KG</v>
      </c>
      <c r="L319" s="36">
        <v>0.1</v>
      </c>
      <c r="M319">
        <f t="shared" ca="1" si="47"/>
        <v>1.5664385304857805E-2</v>
      </c>
      <c r="N319" t="e">
        <f>VLOOKUP(B319,#REF!,9,0)</f>
        <v>#REF!</v>
      </c>
      <c r="O319">
        <f ca="1">IFERROR(IF(J319="KG",VLOOKUP(H319,'Cost Price New'!D:E,2,0),VLOOKUP('BOMs setting'!H319,'Cost Price New'!D:I,6,0)),VLOOKUP(H319,A:R,18,0))</f>
        <v>3.1328770609715613</v>
      </c>
      <c r="P319">
        <v>200</v>
      </c>
      <c r="Q319">
        <v>1053.0999999999999</v>
      </c>
      <c r="V319" t="s">
        <v>603</v>
      </c>
      <c r="W319" s="135" t="s">
        <v>604</v>
      </c>
      <c r="AA319" t="str">
        <f>IFERROR(VLOOKUP(A319,'Capacity of production'!A:C,3,0),"")</f>
        <v/>
      </c>
    </row>
    <row r="320" spans="1:27" ht="15.75" thickBot="1">
      <c r="B320" s="41" t="s">
        <v>310</v>
      </c>
      <c r="C320" s="42" t="s">
        <v>312</v>
      </c>
      <c r="D320" s="284">
        <f>G311/AA306</f>
        <v>0.26327499999999998</v>
      </c>
      <c r="E320" s="31">
        <f t="shared" si="48"/>
        <v>129.28546443900925</v>
      </c>
      <c r="F320" s="45" t="s">
        <v>782</v>
      </c>
      <c r="G320" s="32"/>
      <c r="H320" s="32" t="str">
        <f>VLOOKUP(B320,'Full Item list'!A:B,2,0)</f>
        <v>LAB/OH-Mortar</v>
      </c>
      <c r="I320" s="32"/>
      <c r="J320" s="32" t="str">
        <f t="shared" si="49"/>
        <v>H</v>
      </c>
      <c r="K320" s="32" t="str">
        <f>VLOOKUP(H320,'Full Item list'!B:O,14,0)</f>
        <v>H</v>
      </c>
      <c r="L320" s="32"/>
      <c r="O320">
        <f>IFERROR(IF(J320="KG",VLOOKUP(H320,'Cost Price New'!D:E,2,0),VLOOKUP('BOMs setting'!H320,'Cost Price New'!D:I,6,0)),VLOOKUP(H320,A:R,18,0))</f>
        <v>491.06624039126103</v>
      </c>
      <c r="V320" t="s">
        <v>603</v>
      </c>
      <c r="W320" s="135" t="s">
        <v>604</v>
      </c>
      <c r="AA320" t="str">
        <f>IFERROR(VLOOKUP(A320,'Capacity of production'!A:C,3,0),"")</f>
        <v/>
      </c>
    </row>
    <row r="321" spans="1:27" ht="15">
      <c r="B321" s="54"/>
      <c r="C321" s="55"/>
      <c r="D321" s="56"/>
      <c r="E321" s="56" t="s">
        <v>466</v>
      </c>
      <c r="F321" s="56">
        <f ca="1">SUM(E313:E320)</f>
        <v>194.79738332802108</v>
      </c>
      <c r="G321" s="55"/>
      <c r="H321" s="55"/>
      <c r="I321" s="55"/>
      <c r="J321" s="55"/>
      <c r="K321" s="55"/>
      <c r="L321" s="55"/>
      <c r="V321" t="s">
        <v>603</v>
      </c>
      <c r="W321" s="135" t="s">
        <v>604</v>
      </c>
      <c r="AA321" t="str">
        <f>IFERROR(VLOOKUP(A321,'Capacity of production'!A:C,3,0),"")</f>
        <v/>
      </c>
    </row>
    <row r="322" spans="1:27" ht="15.75" thickBot="1">
      <c r="B322" s="54"/>
      <c r="C322" s="55"/>
      <c r="D322" s="55"/>
      <c r="E322" s="56"/>
      <c r="F322" s="55"/>
      <c r="G322" s="55"/>
      <c r="H322" s="55"/>
      <c r="I322" s="55"/>
      <c r="J322" s="55"/>
      <c r="K322" s="55"/>
      <c r="L322" s="55"/>
      <c r="V322" t="s">
        <v>603</v>
      </c>
      <c r="W322" s="135" t="s">
        <v>604</v>
      </c>
      <c r="AA322" t="str">
        <f>IFERROR(VLOOKUP(A322,'Capacity of production'!A:C,3,0),"")</f>
        <v/>
      </c>
    </row>
    <row r="323" spans="1:27" ht="16.5" thickBot="1">
      <c r="A323" t="str">
        <f>B323</f>
        <v>MO110F</v>
      </c>
      <c r="B323" s="20" t="s">
        <v>163</v>
      </c>
      <c r="C323" s="288" t="str">
        <f>VLOOKUP(A323,'All products'!A:B,2,0)</f>
        <v>TECNOGROUT-IN (20KG)</v>
      </c>
      <c r="D323" s="288"/>
      <c r="E323" s="288"/>
      <c r="F323" s="289"/>
      <c r="G323" s="21">
        <v>1</v>
      </c>
      <c r="H323" s="21" t="str">
        <f>VLOOKUP(B323,'Full Item list'!A:B,2,0)</f>
        <v>MO110F</v>
      </c>
      <c r="I323" s="21">
        <f>VLOOKUP(H323,'Full Item list'!B:J,9,0)</f>
        <v>20</v>
      </c>
      <c r="J323" s="21"/>
      <c r="K323" s="21" t="str">
        <f>VLOOKUP(H323,'Full Item list'!B:O,14,0)</f>
        <v>PCS</v>
      </c>
      <c r="L323" s="21"/>
      <c r="M323">
        <f>O323/P323</f>
        <v>0</v>
      </c>
      <c r="N323" t="e">
        <f>VLOOKUP(B323,#REF!,9,0)</f>
        <v>#REF!</v>
      </c>
      <c r="P323">
        <v>25</v>
      </c>
      <c r="Q323">
        <f>SUM(D325:D326)</f>
        <v>25</v>
      </c>
      <c r="R323">
        <f ca="1">OFFSET(F323,MATCH("Total Cost:",E323:E417,0)-1,0,1,1)/G323</f>
        <v>5.6921634725814334</v>
      </c>
      <c r="U323" t="str">
        <f>VLOOKUP(H323,'Full Item list'!B:D,3,0)</f>
        <v>Product</v>
      </c>
      <c r="V323" t="s">
        <v>603</v>
      </c>
      <c r="W323" s="135" t="s">
        <v>604</v>
      </c>
      <c r="X323" t="s">
        <v>606</v>
      </c>
      <c r="AA323">
        <f>IFERROR(VLOOKUP(A323,'Capacity of production'!A:C,3,0),"")</f>
        <v>4000</v>
      </c>
    </row>
    <row r="324" spans="1:27" ht="15" thickBot="1">
      <c r="B324" s="23" t="s">
        <v>319</v>
      </c>
      <c r="C324" s="24" t="s">
        <v>320</v>
      </c>
      <c r="D324" s="25" t="s">
        <v>321</v>
      </c>
      <c r="E324" s="25" t="s">
        <v>322</v>
      </c>
      <c r="F324" s="26" t="s">
        <v>323</v>
      </c>
      <c r="G324" s="27"/>
      <c r="H324" s="27"/>
      <c r="I324" s="27"/>
      <c r="J324" s="27"/>
      <c r="K324" s="27"/>
      <c r="L324" s="27"/>
      <c r="V324" t="s">
        <v>603</v>
      </c>
      <c r="W324" s="135" t="s">
        <v>604</v>
      </c>
      <c r="AA324" t="str">
        <f>IFERROR(VLOOKUP(A324,'Capacity of production'!A:C,3,0),"")</f>
        <v/>
      </c>
    </row>
    <row r="325" spans="1:27" ht="15.75" thickBot="1">
      <c r="B325" s="20" t="s">
        <v>577</v>
      </c>
      <c r="C325" s="55" t="str">
        <f>VLOOKUP(B325,'All products'!A:B,2,0)</f>
        <v>TECNOGROUT-IN (KG)</v>
      </c>
      <c r="D325" s="43">
        <v>25</v>
      </c>
      <c r="E325" s="31">
        <f ca="1">O325*D325</f>
        <v>5.6921634725814334</v>
      </c>
      <c r="F325" s="45"/>
      <c r="G325" s="32"/>
      <c r="H325" s="32" t="str">
        <f>VLOOKUP(B325,'Full Item list'!A:B,2,0)</f>
        <v>MO110F-1</v>
      </c>
      <c r="I325" s="32"/>
      <c r="J325" s="32" t="str">
        <f>K325</f>
        <v>KG</v>
      </c>
      <c r="K325" s="32" t="str">
        <f>VLOOKUP(H325,'Full Item list'!B:O,14,0)</f>
        <v>KG</v>
      </c>
      <c r="L325" s="32"/>
      <c r="M325">
        <f ca="1">O325/P325</f>
        <v>9.1074615561302936E-3</v>
      </c>
      <c r="N325" t="e">
        <f>VLOOKUP(B325,#REF!,9,0)</f>
        <v>#REF!</v>
      </c>
      <c r="O325">
        <f ca="1">IFERROR(IF(J325="KG",VLOOKUP(H325,'Cost Price New'!D:E,2,0),VLOOKUP('BOMs setting'!H325,'Cost Price New'!D:I,6,0)),VLOOKUP(H325,A:R,18,0))</f>
        <v>0.22768653890325732</v>
      </c>
      <c r="P325">
        <v>25</v>
      </c>
      <c r="Q325">
        <v>1</v>
      </c>
      <c r="V325" t="s">
        <v>603</v>
      </c>
      <c r="W325" s="135" t="s">
        <v>604</v>
      </c>
      <c r="AA325" t="str">
        <f>IFERROR(VLOOKUP(A325,'Capacity of production'!A:C,3,0),"")</f>
        <v/>
      </c>
    </row>
    <row r="326" spans="1:27" ht="15">
      <c r="B326" s="54"/>
      <c r="C326" s="55"/>
      <c r="D326" s="56"/>
      <c r="E326" s="56" t="s">
        <v>466</v>
      </c>
      <c r="F326" s="56">
        <f ca="1">E325</f>
        <v>5.6921634725814334</v>
      </c>
      <c r="G326" s="55"/>
      <c r="H326" s="55"/>
      <c r="I326" s="55"/>
      <c r="J326" s="55"/>
      <c r="K326" s="55"/>
      <c r="L326" s="55"/>
      <c r="V326" t="s">
        <v>603</v>
      </c>
      <c r="W326" s="135" t="s">
        <v>604</v>
      </c>
      <c r="AA326" t="str">
        <f>IFERROR(VLOOKUP(A326,'Capacity of production'!A:C,3,0),"")</f>
        <v/>
      </c>
    </row>
    <row r="327" spans="1:27" ht="15.75" thickBot="1">
      <c r="B327" s="54"/>
      <c r="C327" s="55"/>
      <c r="D327" s="55"/>
      <c r="E327" s="56"/>
      <c r="F327" s="55"/>
      <c r="G327" s="55"/>
      <c r="H327" s="55"/>
      <c r="I327" s="55"/>
      <c r="J327" s="55"/>
      <c r="K327" s="55"/>
      <c r="L327" s="55"/>
      <c r="V327" t="s">
        <v>603</v>
      </c>
      <c r="W327" s="135" t="s">
        <v>604</v>
      </c>
      <c r="AA327" t="str">
        <f>IFERROR(VLOOKUP(A327,'Capacity of production'!A:C,3,0),"")</f>
        <v/>
      </c>
    </row>
    <row r="328" spans="1:27" ht="16.5" thickBot="1">
      <c r="A328" t="str">
        <f>B328</f>
        <v>MO110F-1</v>
      </c>
      <c r="B328" s="20" t="s">
        <v>577</v>
      </c>
      <c r="C328" s="288" t="str">
        <f>VLOOKUP(A328,'All products'!A:B,2,0)</f>
        <v>TECNOGROUT-IN (KG)</v>
      </c>
      <c r="D328" s="288"/>
      <c r="E328" s="288"/>
      <c r="F328" s="289"/>
      <c r="G328" s="21">
        <f>Q328</f>
        <v>1005.13</v>
      </c>
      <c r="H328" s="21" t="str">
        <f>VLOOKUP(B328,'Full Item list'!A:B,2,0)</f>
        <v>MO110F-1</v>
      </c>
      <c r="I328" s="21">
        <f>VLOOKUP(H328,'Full Item list'!B:J,9,0)</f>
        <v>1</v>
      </c>
      <c r="J328" s="21"/>
      <c r="K328" s="21" t="str">
        <f>VLOOKUP(H328,'Full Item list'!B:O,14,0)</f>
        <v>KG</v>
      </c>
      <c r="L328" s="21"/>
      <c r="M328">
        <f t="shared" si="47"/>
        <v>0</v>
      </c>
      <c r="N328" t="e">
        <f>VLOOKUP(B328,#REF!,9,0)</f>
        <v>#REF!</v>
      </c>
      <c r="P328">
        <v>20</v>
      </c>
      <c r="Q328">
        <f>SUM(D330:D332)</f>
        <v>1005.13</v>
      </c>
      <c r="R328">
        <f ca="1">OFFSET(F328,MATCH("Total Cost:",E328:E398,0)-1,0,1,1)/G328</f>
        <v>0.22768653890325732</v>
      </c>
      <c r="U328" t="str">
        <f>VLOOKUP(H328,'Full Item list'!B:D,3,0)</f>
        <v>Component</v>
      </c>
      <c r="V328" t="s">
        <v>603</v>
      </c>
      <c r="W328" s="135" t="s">
        <v>604</v>
      </c>
      <c r="X328" t="s">
        <v>606</v>
      </c>
      <c r="Y328">
        <v>1</v>
      </c>
      <c r="AA328" t="str">
        <f>IFERROR(VLOOKUP(A328,'Capacity of production'!A:C,3,0),"")</f>
        <v/>
      </c>
    </row>
    <row r="329" spans="1:27" ht="15" thickBot="1">
      <c r="B329" s="68" t="s">
        <v>319</v>
      </c>
      <c r="C329" s="69" t="s">
        <v>320</v>
      </c>
      <c r="D329" s="70" t="s">
        <v>321</v>
      </c>
      <c r="E329" s="70" t="s">
        <v>322</v>
      </c>
      <c r="F329" s="26" t="s">
        <v>323</v>
      </c>
      <c r="G329" s="27"/>
      <c r="H329" s="27"/>
      <c r="I329" s="27"/>
      <c r="J329" s="27"/>
      <c r="K329" s="27"/>
      <c r="L329" s="27"/>
      <c r="V329" t="s">
        <v>603</v>
      </c>
      <c r="W329" s="135" t="s">
        <v>604</v>
      </c>
      <c r="AA329" t="str">
        <f>IFERROR(VLOOKUP(A329,'Capacity of production'!A:C,3,0),"")</f>
        <v/>
      </c>
    </row>
    <row r="330" spans="1:27" ht="15.75" thickBot="1">
      <c r="B330" s="80" t="s">
        <v>343</v>
      </c>
      <c r="C330" s="77" t="s">
        <v>101</v>
      </c>
      <c r="D330" s="73">
        <v>800</v>
      </c>
      <c r="E330" s="31">
        <f>O330*D330</f>
        <v>80</v>
      </c>
      <c r="F330" s="290"/>
      <c r="H330" s="36" t="str">
        <f>VLOOKUP(B330,'Full Item list'!A:B,2,0)</f>
        <v>CE-080</v>
      </c>
      <c r="I330" s="36"/>
      <c r="J330" s="32" t="str">
        <f t="shared" ref="J330:J333" si="50">K330</f>
        <v>KG</v>
      </c>
      <c r="K330" s="36" t="str">
        <f>VLOOKUP(H330,'Full Item list'!B:O,14,0)</f>
        <v>KG</v>
      </c>
      <c r="L330" s="36">
        <v>5</v>
      </c>
      <c r="M330" s="22" t="e">
        <f t="shared" si="47"/>
        <v>#DIV/0!</v>
      </c>
      <c r="N330" s="22" t="e">
        <f>VLOOKUP(B330,#REF!,9,0)</f>
        <v>#REF!</v>
      </c>
      <c r="O330">
        <f>IFERROR(IF(J330="KG",VLOOKUP(H330,'Cost Price New'!D:E,2,0),VLOOKUP('BOMs setting'!H330,'Cost Price New'!D:I,6,0)),VLOOKUP(H330,A:R,18,0))</f>
        <v>0.1</v>
      </c>
      <c r="P330" s="22"/>
      <c r="Q330">
        <v>1005.13</v>
      </c>
      <c r="V330" t="s">
        <v>602</v>
      </c>
      <c r="W330" s="135" t="s">
        <v>605</v>
      </c>
      <c r="AA330" t="str">
        <f>IFERROR(VLOOKUP(A330,'Capacity of production'!A:C,3,0),"")</f>
        <v/>
      </c>
    </row>
    <row r="331" spans="1:27" ht="15.75" thickBot="1">
      <c r="B331" s="67" t="s">
        <v>336</v>
      </c>
      <c r="C331" s="78" t="s">
        <v>115</v>
      </c>
      <c r="D331" s="34">
        <v>200</v>
      </c>
      <c r="E331" s="31">
        <f>O331*D331</f>
        <v>11.5</v>
      </c>
      <c r="F331" s="291"/>
      <c r="H331" s="36" t="str">
        <f>VLOOKUP(B331,'Full Item list'!A:B,2,0)</f>
        <v>FS-540</v>
      </c>
      <c r="I331" s="36"/>
      <c r="J331" s="32" t="str">
        <f t="shared" si="50"/>
        <v>KG</v>
      </c>
      <c r="K331" s="36" t="str">
        <f>VLOOKUP(H331,'Full Item list'!B:O,14,0)</f>
        <v>KG</v>
      </c>
      <c r="L331" s="36">
        <v>5</v>
      </c>
      <c r="M331" s="22" t="e">
        <f t="shared" si="47"/>
        <v>#DIV/0!</v>
      </c>
      <c r="N331" s="22" t="e">
        <f>VLOOKUP(B331,#REF!,9,0)</f>
        <v>#REF!</v>
      </c>
      <c r="O331">
        <f>IFERROR(IF(J331="KG",VLOOKUP(H331,'Cost Price New'!D:E,2,0),VLOOKUP('BOMs setting'!H331,'Cost Price New'!D:I,6,0)),VLOOKUP(H331,A:R,18,0))</f>
        <v>5.7500000000000002E-2</v>
      </c>
      <c r="P331" s="22"/>
      <c r="Q331">
        <v>1005.13</v>
      </c>
      <c r="V331" t="s">
        <v>603</v>
      </c>
      <c r="W331" s="135" t="s">
        <v>604</v>
      </c>
      <c r="AA331" t="str">
        <f>IFERROR(VLOOKUP(A331,'Capacity of production'!A:C,3,0),"")</f>
        <v/>
      </c>
    </row>
    <row r="332" spans="1:27" ht="15.75" thickBot="1">
      <c r="B332" s="75" t="s">
        <v>244</v>
      </c>
      <c r="C332" s="79" t="s">
        <v>245</v>
      </c>
      <c r="D332" s="39">
        <v>5.13</v>
      </c>
      <c r="E332" s="31">
        <f ca="1">O332*D332</f>
        <v>13.958218296713978</v>
      </c>
      <c r="F332" s="292"/>
      <c r="H332" s="36" t="str">
        <f>VLOOKUP(B332,'Full Item list'!A:B,2,0)</f>
        <v>SPMO003</v>
      </c>
      <c r="I332" s="36"/>
      <c r="J332" s="32" t="str">
        <f t="shared" si="50"/>
        <v>KG</v>
      </c>
      <c r="K332" s="36" t="str">
        <f>VLOOKUP(H332,'Full Item list'!B:O,14,0)</f>
        <v>KG</v>
      </c>
      <c r="L332" s="36">
        <v>0.1</v>
      </c>
      <c r="M332">
        <f t="shared" ca="1" si="47"/>
        <v>1.3604501263853781E-2</v>
      </c>
      <c r="N332" t="e">
        <f>VLOOKUP(B332,#REF!,9,0)</f>
        <v>#REF!</v>
      </c>
      <c r="O332">
        <f ca="1">IFERROR(IF(J332="KG",VLOOKUP(H332,'Cost Price New'!D:E,2,0),VLOOKUP('BOMs setting'!H332,'Cost Price New'!D:I,6,0)),VLOOKUP(H332,A:R,18,0))</f>
        <v>2.7209002527707562</v>
      </c>
      <c r="P332">
        <v>200</v>
      </c>
      <c r="Q332">
        <v>1005.13</v>
      </c>
      <c r="V332" t="s">
        <v>603</v>
      </c>
      <c r="W332" s="135" t="s">
        <v>604</v>
      </c>
      <c r="AA332" t="str">
        <f>IFERROR(VLOOKUP(A332,'Capacity of production'!A:C,3,0),"")</f>
        <v/>
      </c>
    </row>
    <row r="333" spans="1:27" ht="15.75" thickBot="1">
      <c r="B333" s="41" t="s">
        <v>310</v>
      </c>
      <c r="C333" s="42" t="s">
        <v>312</v>
      </c>
      <c r="D333" s="284">
        <f>G328/AA323</f>
        <v>0.25128250000000002</v>
      </c>
      <c r="E333" s="31">
        <f>O333*D333</f>
        <v>123.39635255111706</v>
      </c>
      <c r="F333" s="45" t="s">
        <v>782</v>
      </c>
      <c r="G333" s="32"/>
      <c r="H333" s="32" t="str">
        <f>VLOOKUP(B333,'Full Item list'!A:B,2,0)</f>
        <v>LAB/OH-Mortar</v>
      </c>
      <c r="I333" s="32"/>
      <c r="J333" s="32" t="str">
        <f t="shared" si="50"/>
        <v>H</v>
      </c>
      <c r="K333" s="32" t="str">
        <f>VLOOKUP(H333,'Full Item list'!B:O,14,0)</f>
        <v>H</v>
      </c>
      <c r="L333" s="32"/>
      <c r="O333">
        <f>IFERROR(IF(J333="KG",VLOOKUP(H333,'Cost Price New'!D:E,2,0),VLOOKUP('BOMs setting'!H333,'Cost Price New'!D:I,6,0)),VLOOKUP(H333,A:R,18,0))</f>
        <v>491.06624039126103</v>
      </c>
      <c r="V333" t="s">
        <v>603</v>
      </c>
      <c r="W333" s="135" t="s">
        <v>604</v>
      </c>
      <c r="AA333" t="str">
        <f>IFERROR(VLOOKUP(A333,'Capacity of production'!A:C,3,0),"")</f>
        <v/>
      </c>
    </row>
    <row r="334" spans="1:27" ht="15">
      <c r="B334" s="54"/>
      <c r="C334" s="55"/>
      <c r="D334" s="56"/>
      <c r="E334" s="56" t="s">
        <v>466</v>
      </c>
      <c r="F334" s="56">
        <f ca="1">SUM(E330:E333)</f>
        <v>228.85457084783104</v>
      </c>
      <c r="G334" s="55"/>
      <c r="H334" s="55"/>
      <c r="I334" s="55"/>
      <c r="J334" s="55"/>
      <c r="K334" s="55"/>
      <c r="L334" s="55"/>
      <c r="V334" t="s">
        <v>603</v>
      </c>
      <c r="W334" s="135" t="s">
        <v>604</v>
      </c>
      <c r="AA334" t="str">
        <f>IFERROR(VLOOKUP(A334,'Capacity of production'!A:C,3,0),"")</f>
        <v/>
      </c>
    </row>
    <row r="335" spans="1:27" ht="15.75" thickBot="1">
      <c r="B335" s="84"/>
      <c r="C335" s="55"/>
      <c r="D335" s="55"/>
      <c r="E335" s="56"/>
      <c r="F335" s="55"/>
      <c r="G335" s="55"/>
      <c r="H335" s="55"/>
      <c r="I335" s="55"/>
      <c r="J335" s="55"/>
      <c r="K335" s="55"/>
      <c r="L335" s="55"/>
      <c r="V335" t="s">
        <v>603</v>
      </c>
      <c r="W335" s="135" t="s">
        <v>604</v>
      </c>
      <c r="AA335" t="str">
        <f>IFERROR(VLOOKUP(A335,'Capacity of production'!A:C,3,0),"")</f>
        <v/>
      </c>
    </row>
    <row r="336" spans="1:27" ht="16.5" thickBot="1">
      <c r="A336" t="str">
        <f>B336</f>
        <v>MO081F</v>
      </c>
      <c r="B336" s="20" t="s">
        <v>578</v>
      </c>
      <c r="C336" s="288" t="str">
        <f>VLOOKUP(A336,'All products'!A:B,2,0)</f>
        <v>FERROGROUT-A (25KG)</v>
      </c>
      <c r="D336" s="288"/>
      <c r="E336" s="288"/>
      <c r="F336" s="289"/>
      <c r="G336" s="21">
        <v>1</v>
      </c>
      <c r="H336" s="21" t="str">
        <f>VLOOKUP(B336,'Full Item list'!A:B,2,0)</f>
        <v>MO081F</v>
      </c>
      <c r="I336" s="21">
        <f>VLOOKUP(H336,'Full Item list'!B:J,9,0)</f>
        <v>25</v>
      </c>
      <c r="J336" s="21"/>
      <c r="K336" s="21" t="str">
        <f>VLOOKUP(H336,'Full Item list'!B:O,14,0)</f>
        <v>PCS</v>
      </c>
      <c r="L336" s="21"/>
      <c r="M336">
        <f>O336/P336</f>
        <v>0</v>
      </c>
      <c r="N336" t="e">
        <f>VLOOKUP(B336,#REF!,9,0)</f>
        <v>#REF!</v>
      </c>
      <c r="P336">
        <v>25</v>
      </c>
      <c r="Q336">
        <f>SUM(D338:D339)</f>
        <v>25</v>
      </c>
      <c r="R336">
        <f ca="1">OFFSET(F336,MATCH("Total Cost:",E336:E435,0)-1,0,1,1)/G336</f>
        <v>14.575557568106854</v>
      </c>
      <c r="U336" t="str">
        <f>VLOOKUP(H336,'Full Item list'!B:D,3,0)</f>
        <v>Product</v>
      </c>
      <c r="V336" t="s">
        <v>603</v>
      </c>
      <c r="W336" s="135" t="s">
        <v>604</v>
      </c>
      <c r="X336" t="s">
        <v>631</v>
      </c>
      <c r="AA336">
        <f>IFERROR(VLOOKUP(A336,'Capacity of production'!A:C,3,0),"")</f>
        <v>1000</v>
      </c>
    </row>
    <row r="337" spans="1:27" ht="15" thickBot="1">
      <c r="B337" s="23" t="s">
        <v>319</v>
      </c>
      <c r="C337" s="24" t="s">
        <v>320</v>
      </c>
      <c r="D337" s="25" t="s">
        <v>321</v>
      </c>
      <c r="E337" s="25" t="s">
        <v>322</v>
      </c>
      <c r="F337" s="26" t="s">
        <v>323</v>
      </c>
      <c r="G337" s="27"/>
      <c r="H337" s="27"/>
      <c r="I337" s="27"/>
      <c r="J337" s="27"/>
      <c r="K337" s="27"/>
      <c r="L337" s="27"/>
      <c r="V337" t="s">
        <v>603</v>
      </c>
      <c r="W337" s="135" t="s">
        <v>604</v>
      </c>
      <c r="AA337" t="str">
        <f>IFERROR(VLOOKUP(A337,'Capacity of production'!A:C,3,0),"")</f>
        <v/>
      </c>
    </row>
    <row r="338" spans="1:27" ht="15.75" thickBot="1">
      <c r="B338" s="20" t="s">
        <v>579</v>
      </c>
      <c r="C338" s="55" t="str">
        <f>VLOOKUP(B338,'All products'!A:B,2,0)</f>
        <v>FERROGROUT-A (KG)</v>
      </c>
      <c r="D338" s="43">
        <v>25</v>
      </c>
      <c r="E338" s="31">
        <f ca="1">O338*D338</f>
        <v>14.575557568106854</v>
      </c>
      <c r="F338" s="45"/>
      <c r="G338" s="32"/>
      <c r="H338" s="32" t="str">
        <f>VLOOKUP(B338,'Full Item list'!A:B,2,0)</f>
        <v>MO081F-1</v>
      </c>
      <c r="I338" s="32"/>
      <c r="J338" s="32" t="str">
        <f>K338</f>
        <v>KG</v>
      </c>
      <c r="K338" s="32" t="str">
        <f>VLOOKUP(H338,'Full Item list'!B:O,14,0)</f>
        <v>KG</v>
      </c>
      <c r="L338" s="32"/>
      <c r="M338">
        <f ca="1">O338/P338</f>
        <v>2.3320892108970967E-2</v>
      </c>
      <c r="N338" t="e">
        <f>VLOOKUP(B338,#REF!,9,0)</f>
        <v>#REF!</v>
      </c>
      <c r="O338">
        <f ca="1">IFERROR(IF(J338="KG",VLOOKUP(H338,'Cost Price New'!D:E,2,0),VLOOKUP('BOMs setting'!H338,'Cost Price New'!D:I,6,0)),VLOOKUP(H338,A:R,18,0))</f>
        <v>0.58302230272427413</v>
      </c>
      <c r="P338">
        <v>25</v>
      </c>
      <c r="Q338">
        <v>1</v>
      </c>
      <c r="V338" t="s">
        <v>603</v>
      </c>
      <c r="W338" s="135" t="s">
        <v>604</v>
      </c>
      <c r="AA338" t="str">
        <f>IFERROR(VLOOKUP(A338,'Capacity of production'!A:C,3,0),"")</f>
        <v/>
      </c>
    </row>
    <row r="339" spans="1:27" ht="15">
      <c r="B339" s="54"/>
      <c r="C339" s="55"/>
      <c r="D339" s="56"/>
      <c r="E339" s="56" t="s">
        <v>466</v>
      </c>
      <c r="F339" s="56">
        <f ca="1">E338</f>
        <v>14.575557568106854</v>
      </c>
      <c r="G339" s="55"/>
      <c r="H339" s="55"/>
      <c r="I339" s="55"/>
      <c r="J339" s="55"/>
      <c r="K339" s="55"/>
      <c r="L339" s="55"/>
      <c r="V339" t="s">
        <v>603</v>
      </c>
      <c r="W339" s="135" t="s">
        <v>604</v>
      </c>
      <c r="AA339" t="str">
        <f>IFERROR(VLOOKUP(A339,'Capacity of production'!A:C,3,0),"")</f>
        <v/>
      </c>
    </row>
    <row r="340" spans="1:27" ht="15.75" thickBot="1">
      <c r="B340" s="84"/>
      <c r="C340" s="55"/>
      <c r="D340" s="55"/>
      <c r="E340" s="56"/>
      <c r="F340" s="55"/>
      <c r="G340" s="55"/>
      <c r="H340" s="55"/>
      <c r="I340" s="55"/>
      <c r="J340" s="55"/>
      <c r="K340" s="55"/>
      <c r="L340" s="55"/>
      <c r="V340" t="s">
        <v>603</v>
      </c>
      <c r="W340" s="135" t="s">
        <v>604</v>
      </c>
      <c r="AA340" t="str">
        <f>IFERROR(VLOOKUP(A340,'Capacity of production'!A:C,3,0),"")</f>
        <v/>
      </c>
    </row>
    <row r="341" spans="1:27" ht="16.5" thickBot="1">
      <c r="A341" t="str">
        <f>B341</f>
        <v>MO081F-1</v>
      </c>
      <c r="B341" s="20" t="s">
        <v>579</v>
      </c>
      <c r="C341" s="288" t="str">
        <f>VLOOKUP(A341,'All products'!A:B,2,0)</f>
        <v>FERROGROUT-A (KG)</v>
      </c>
      <c r="D341" s="288"/>
      <c r="E341" s="288"/>
      <c r="F341" s="289"/>
      <c r="G341" s="21">
        <f>Q341</f>
        <v>1072.7</v>
      </c>
      <c r="H341" s="21" t="str">
        <f>VLOOKUP(B341,'Full Item list'!A:B,2,0)</f>
        <v>MO081F-1</v>
      </c>
      <c r="I341" s="21">
        <f>VLOOKUP(H341,'Full Item list'!B:J,9,0)</f>
        <v>1</v>
      </c>
      <c r="J341" s="21"/>
      <c r="K341" s="21" t="str">
        <f>VLOOKUP(H341,'Full Item list'!B:O,14,0)</f>
        <v>KG</v>
      </c>
      <c r="L341" s="21"/>
      <c r="M341">
        <f t="shared" si="47"/>
        <v>0</v>
      </c>
      <c r="N341" t="e">
        <f>VLOOKUP(B341,#REF!,9,0)</f>
        <v>#REF!</v>
      </c>
      <c r="P341">
        <v>25</v>
      </c>
      <c r="Q341">
        <f>SUM(D343:D350)</f>
        <v>1072.7</v>
      </c>
      <c r="R341">
        <f ca="1">OFFSET(F341,MATCH("Total Cost:",E341:E406,0)-1,0,1,1)/G341</f>
        <v>0.58302230272427413</v>
      </c>
      <c r="U341" t="str">
        <f>VLOOKUP(H341,'Full Item list'!B:D,3,0)</f>
        <v>Component</v>
      </c>
      <c r="V341" t="s">
        <v>603</v>
      </c>
      <c r="W341" s="135" t="s">
        <v>604</v>
      </c>
      <c r="AA341" t="str">
        <f>IFERROR(VLOOKUP(A341,'Capacity of production'!A:C,3,0),"")</f>
        <v/>
      </c>
    </row>
    <row r="342" spans="1:27" ht="15" thickBot="1">
      <c r="B342" s="68" t="s">
        <v>319</v>
      </c>
      <c r="C342" s="69" t="s">
        <v>320</v>
      </c>
      <c r="D342" s="70" t="s">
        <v>321</v>
      </c>
      <c r="E342" s="70" t="s">
        <v>322</v>
      </c>
      <c r="F342" s="26" t="s">
        <v>323</v>
      </c>
      <c r="G342" s="27"/>
      <c r="H342" s="27"/>
      <c r="I342" s="27"/>
      <c r="J342" s="27"/>
      <c r="K342" s="27"/>
      <c r="L342" s="27"/>
      <c r="V342" t="s">
        <v>603</v>
      </c>
      <c r="W342" s="135" t="s">
        <v>604</v>
      </c>
      <c r="X342" t="s">
        <v>631</v>
      </c>
      <c r="AA342" t="str">
        <f>IFERROR(VLOOKUP(A342,'Capacity of production'!A:C,3,0),"")</f>
        <v/>
      </c>
    </row>
    <row r="343" spans="1:27" ht="15.75" thickBot="1">
      <c r="B343" s="80" t="s">
        <v>348</v>
      </c>
      <c r="C343" s="72" t="s">
        <v>98</v>
      </c>
      <c r="D343" s="82">
        <v>75</v>
      </c>
      <c r="E343" s="31">
        <f t="shared" ref="E343:E351" si="51">O343*D343</f>
        <v>17.3325</v>
      </c>
      <c r="F343" s="303"/>
      <c r="H343" s="36" t="str">
        <f>VLOOKUP(B343,'Full Item list'!A:B,2,0)</f>
        <v>CE-070</v>
      </c>
      <c r="I343" s="36"/>
      <c r="J343" s="32" t="str">
        <f t="shared" ref="J343:J351" si="52">K343</f>
        <v>KG</v>
      </c>
      <c r="K343" s="36" t="str">
        <f>VLOOKUP(H343,'Full Item list'!B:O,14,0)</f>
        <v>KG</v>
      </c>
      <c r="L343" s="36">
        <v>5</v>
      </c>
      <c r="M343" s="22" t="e">
        <f t="shared" si="47"/>
        <v>#DIV/0!</v>
      </c>
      <c r="N343" s="22" t="e">
        <f>VLOOKUP(B343,#REF!,9,0)</f>
        <v>#REF!</v>
      </c>
      <c r="O343">
        <f>IFERROR(IF(J343="KG",VLOOKUP(H343,'Cost Price New'!D:E,2,0),VLOOKUP('BOMs setting'!H343,'Cost Price New'!D:I,6,0)),VLOOKUP(H343,A:R,18,0))</f>
        <v>0.2311</v>
      </c>
      <c r="P343" s="22"/>
      <c r="Q343">
        <v>1072.7</v>
      </c>
      <c r="V343" t="s">
        <v>602</v>
      </c>
      <c r="W343" s="135" t="s">
        <v>605</v>
      </c>
      <c r="AA343" t="str">
        <f>IFERROR(VLOOKUP(A343,'Capacity of production'!A:C,3,0),"")</f>
        <v/>
      </c>
    </row>
    <row r="344" spans="1:27" ht="15.75" thickBot="1">
      <c r="B344" s="67" t="s">
        <v>343</v>
      </c>
      <c r="C344" s="72" t="s">
        <v>101</v>
      </c>
      <c r="D344" s="85">
        <v>200</v>
      </c>
      <c r="E344" s="31">
        <f t="shared" si="51"/>
        <v>20</v>
      </c>
      <c r="F344" s="308"/>
      <c r="H344" s="36" t="str">
        <f>VLOOKUP(B344,'Full Item list'!A:B,2,0)</f>
        <v>CE-080</v>
      </c>
      <c r="I344" s="36"/>
      <c r="J344" s="32" t="str">
        <f t="shared" si="52"/>
        <v>KG</v>
      </c>
      <c r="K344" s="36" t="str">
        <f>VLOOKUP(H344,'Full Item list'!B:O,14,0)</f>
        <v>KG</v>
      </c>
      <c r="L344" s="36">
        <v>5</v>
      </c>
      <c r="M344" s="22" t="e">
        <f t="shared" si="47"/>
        <v>#DIV/0!</v>
      </c>
      <c r="N344" s="22" t="e">
        <f>VLOOKUP(B344,#REF!,9,0)</f>
        <v>#REF!</v>
      </c>
      <c r="O344">
        <f>IFERROR(IF(J344="KG",VLOOKUP(H344,'Cost Price New'!D:E,2,0),VLOOKUP('BOMs setting'!H344,'Cost Price New'!D:I,6,0)),VLOOKUP(H344,A:R,18,0))</f>
        <v>0.1</v>
      </c>
      <c r="P344" s="22"/>
      <c r="Q344">
        <v>1072.7</v>
      </c>
      <c r="V344" t="s">
        <v>602</v>
      </c>
      <c r="W344" s="135" t="s">
        <v>605</v>
      </c>
      <c r="AA344" t="str">
        <f>IFERROR(VLOOKUP(A344,'Capacity of production'!A:C,3,0),"")</f>
        <v/>
      </c>
    </row>
    <row r="345" spans="1:27" ht="15.75" thickBot="1">
      <c r="B345" s="67" t="s">
        <v>338</v>
      </c>
      <c r="C345" s="74" t="s">
        <v>117</v>
      </c>
      <c r="D345" s="73">
        <v>100</v>
      </c>
      <c r="E345" s="31">
        <f t="shared" si="51"/>
        <v>3.5000000000000004</v>
      </c>
      <c r="F345" s="304"/>
      <c r="H345" s="36" t="str">
        <f>VLOOKUP(B345,'Full Item list'!A:B,2,0)</f>
        <v>FS-550</v>
      </c>
      <c r="I345" s="36"/>
      <c r="J345" s="32" t="str">
        <f t="shared" si="52"/>
        <v>KG</v>
      </c>
      <c r="K345" s="36" t="str">
        <f>VLOOKUP(H345,'Full Item list'!B:O,14,0)</f>
        <v>KG</v>
      </c>
      <c r="L345" s="36">
        <v>5</v>
      </c>
      <c r="M345" s="22" t="e">
        <f t="shared" si="47"/>
        <v>#DIV/0!</v>
      </c>
      <c r="N345" s="22" t="e">
        <f>VLOOKUP(B345,#REF!,9,0)</f>
        <v>#REF!</v>
      </c>
      <c r="O345">
        <f>IFERROR(IF(J345="KG",VLOOKUP(H345,'Cost Price New'!D:E,2,0),VLOOKUP('BOMs setting'!H345,'Cost Price New'!D:I,6,0)),VLOOKUP(H345,A:R,18,0))</f>
        <v>3.5000000000000003E-2</v>
      </c>
      <c r="P345" s="22"/>
      <c r="Q345">
        <v>1072.7</v>
      </c>
      <c r="V345" t="s">
        <v>602</v>
      </c>
      <c r="W345" s="135" t="s">
        <v>605</v>
      </c>
      <c r="AA345" t="str">
        <f>IFERROR(VLOOKUP(A345,'Capacity of production'!A:C,3,0),"")</f>
        <v/>
      </c>
    </row>
    <row r="346" spans="1:27" ht="15.75" thickBot="1">
      <c r="B346" s="67" t="s">
        <v>339</v>
      </c>
      <c r="C346" s="74" t="s">
        <v>119</v>
      </c>
      <c r="D346" s="34">
        <v>250</v>
      </c>
      <c r="E346" s="31">
        <f t="shared" si="51"/>
        <v>8.75</v>
      </c>
      <c r="F346" s="304"/>
      <c r="H346" s="36" t="str">
        <f>VLOOKUP(B346,'Full Item list'!A:B,2,0)</f>
        <v>FS-560</v>
      </c>
      <c r="I346" s="36"/>
      <c r="J346" s="32" t="str">
        <f t="shared" si="52"/>
        <v>KG</v>
      </c>
      <c r="K346" s="36" t="str">
        <f>VLOOKUP(H346,'Full Item list'!B:O,14,0)</f>
        <v>KG</v>
      </c>
      <c r="L346" s="36">
        <v>5</v>
      </c>
      <c r="M346" s="22" t="e">
        <f t="shared" si="47"/>
        <v>#DIV/0!</v>
      </c>
      <c r="N346" s="22" t="e">
        <f>VLOOKUP(B346,#REF!,9,0)</f>
        <v>#REF!</v>
      </c>
      <c r="O346">
        <f>IFERROR(IF(J346="KG",VLOOKUP(H346,'Cost Price New'!D:E,2,0),VLOOKUP('BOMs setting'!H346,'Cost Price New'!D:I,6,0)),VLOOKUP(H346,A:R,18,0))</f>
        <v>3.5000000000000003E-2</v>
      </c>
      <c r="P346" s="22"/>
      <c r="Q346">
        <v>1072.7</v>
      </c>
      <c r="V346" t="s">
        <v>602</v>
      </c>
      <c r="W346" s="135" t="s">
        <v>605</v>
      </c>
      <c r="AA346" t="str">
        <f>IFERROR(VLOOKUP(A346,'Capacity of production'!A:C,3,0),"")</f>
        <v/>
      </c>
    </row>
    <row r="347" spans="1:27" ht="15.75" thickBot="1">
      <c r="B347" s="67" t="s">
        <v>341</v>
      </c>
      <c r="C347" s="74" t="s">
        <v>121</v>
      </c>
      <c r="D347" s="34">
        <v>225</v>
      </c>
      <c r="E347" s="31">
        <f t="shared" si="51"/>
        <v>7.2</v>
      </c>
      <c r="F347" s="304"/>
      <c r="H347" s="36" t="str">
        <f>VLOOKUP(B347,'Full Item list'!A:B,2,0)</f>
        <v>FS-570</v>
      </c>
      <c r="I347" s="36"/>
      <c r="J347" s="32" t="str">
        <f t="shared" si="52"/>
        <v>KG</v>
      </c>
      <c r="K347" s="36" t="str">
        <f>VLOOKUP(H347,'Full Item list'!B:O,14,0)</f>
        <v>KG</v>
      </c>
      <c r="L347" s="36">
        <v>5</v>
      </c>
      <c r="M347" s="22" t="e">
        <f t="shared" si="47"/>
        <v>#DIV/0!</v>
      </c>
      <c r="N347" s="22" t="e">
        <f>VLOOKUP(B347,#REF!,9,0)</f>
        <v>#REF!</v>
      </c>
      <c r="O347">
        <f>IFERROR(IF(J347="KG",VLOOKUP(H347,'Cost Price New'!D:E,2,0),VLOOKUP('BOMs setting'!H347,'Cost Price New'!D:I,6,0)),VLOOKUP(H347,A:R,18,0))</f>
        <v>3.2000000000000001E-2</v>
      </c>
      <c r="P347" s="22"/>
      <c r="Q347">
        <v>1072.7</v>
      </c>
      <c r="V347" t="s">
        <v>602</v>
      </c>
      <c r="W347" s="135" t="s">
        <v>605</v>
      </c>
      <c r="AA347" t="str">
        <f>IFERROR(VLOOKUP(A347,'Capacity of production'!A:C,3,0),"")</f>
        <v/>
      </c>
    </row>
    <row r="348" spans="1:27" ht="15.75" thickBot="1">
      <c r="B348" s="67" t="s">
        <v>347</v>
      </c>
      <c r="C348" s="74" t="s">
        <v>123</v>
      </c>
      <c r="D348" s="34">
        <v>200</v>
      </c>
      <c r="E348" s="31">
        <f t="shared" si="51"/>
        <v>7.0000000000000009</v>
      </c>
      <c r="F348" s="304"/>
      <c r="H348" s="36" t="str">
        <f>VLOOKUP(B348,'Full Item list'!A:B,2,0)</f>
        <v>FS-580</v>
      </c>
      <c r="I348" s="36"/>
      <c r="J348" s="32" t="str">
        <f t="shared" si="52"/>
        <v>KG</v>
      </c>
      <c r="K348" s="36" t="str">
        <f>VLOOKUP(H348,'Full Item list'!B:O,14,0)</f>
        <v>KG</v>
      </c>
      <c r="L348" s="36">
        <v>5</v>
      </c>
      <c r="M348" s="22" t="e">
        <f t="shared" si="47"/>
        <v>#DIV/0!</v>
      </c>
      <c r="N348" s="22" t="e">
        <f>VLOOKUP(B348,#REF!,9,0)</f>
        <v>#REF!</v>
      </c>
      <c r="O348">
        <f>IFERROR(IF(J348="KG",VLOOKUP(H348,'Cost Price New'!D:E,2,0),VLOOKUP('BOMs setting'!H348,'Cost Price New'!D:I,6,0)),VLOOKUP(H348,A:R,18,0))</f>
        <v>3.5000000000000003E-2</v>
      </c>
      <c r="P348" s="22"/>
      <c r="Q348">
        <v>1072.7</v>
      </c>
      <c r="V348" t="s">
        <v>602</v>
      </c>
      <c r="W348" s="135" t="s">
        <v>605</v>
      </c>
      <c r="AA348" t="str">
        <f>IFERROR(VLOOKUP(A348,'Capacity of production'!A:C,3,0),"")</f>
        <v/>
      </c>
    </row>
    <row r="349" spans="1:27" ht="15.75" thickBot="1">
      <c r="B349" s="67" t="s">
        <v>166</v>
      </c>
      <c r="C349" s="74" t="s">
        <v>350</v>
      </c>
      <c r="D349" s="58">
        <v>20</v>
      </c>
      <c r="E349" s="31">
        <f t="shared" si="51"/>
        <v>26.400000000000002</v>
      </c>
      <c r="F349" s="304"/>
      <c r="H349" s="36" t="str">
        <f>VLOOKUP(B349,'Full Item list'!A:B,2,0)</f>
        <v>FL-010</v>
      </c>
      <c r="I349" s="36"/>
      <c r="J349" s="32" t="s">
        <v>639</v>
      </c>
      <c r="K349" s="36" t="str">
        <f>VLOOKUP(H349,'Full Item list'!B:O,14,0)</f>
        <v>PCS</v>
      </c>
      <c r="L349" s="36">
        <v>5</v>
      </c>
      <c r="M349">
        <f t="shared" si="47"/>
        <v>6.6000000000000003E-2</v>
      </c>
      <c r="N349" t="e">
        <f>VLOOKUP(B349,#REF!,9,0)</f>
        <v>#REF!</v>
      </c>
      <c r="O349">
        <f>IFERROR(IF(J349="KG",VLOOKUP(H349,'Cost Price New'!D:E,2,0),VLOOKUP('BOMs setting'!H349,'Cost Price New'!D:I,6,0)),VLOOKUP(H349,A:R,18,0))</f>
        <v>1.32</v>
      </c>
      <c r="P349">
        <v>20</v>
      </c>
      <c r="Q349">
        <v>1072.7</v>
      </c>
      <c r="V349" t="s">
        <v>603</v>
      </c>
      <c r="W349" s="135" t="s">
        <v>604</v>
      </c>
      <c r="AA349" t="str">
        <f>IFERROR(VLOOKUP(A349,'Capacity of production'!A:C,3,0),"")</f>
        <v/>
      </c>
    </row>
    <row r="350" spans="1:27" ht="15.75" thickBot="1">
      <c r="B350" s="75" t="s">
        <v>239</v>
      </c>
      <c r="C350" s="76" t="s">
        <v>240</v>
      </c>
      <c r="D350" s="39">
        <v>2.7</v>
      </c>
      <c r="E350" s="31">
        <f t="shared" ca="1" si="51"/>
        <v>8.4587680646232162</v>
      </c>
      <c r="F350" s="305"/>
      <c r="H350" s="36" t="str">
        <f>VLOOKUP(B350,'Full Item list'!A:B,2,0)</f>
        <v>SPMO001</v>
      </c>
      <c r="I350" s="36"/>
      <c r="J350" s="32" t="str">
        <f t="shared" si="52"/>
        <v>KG</v>
      </c>
      <c r="K350" s="36" t="str">
        <f>VLOOKUP(H350,'Full Item list'!B:O,14,0)</f>
        <v>KG</v>
      </c>
      <c r="L350" s="36">
        <v>0.1</v>
      </c>
      <c r="M350">
        <f t="shared" ca="1" si="47"/>
        <v>1.5664385304857805E-2</v>
      </c>
      <c r="N350" t="e">
        <f>VLOOKUP(B350,#REF!,9,0)</f>
        <v>#REF!</v>
      </c>
      <c r="O350">
        <f ca="1">IFERROR(IF(J350="KG",VLOOKUP(H350,'Cost Price New'!D:E,2,0),VLOOKUP('BOMs setting'!H350,'Cost Price New'!D:I,6,0)),VLOOKUP(H350,A:R,18,0))</f>
        <v>3.1328770609715613</v>
      </c>
      <c r="P350">
        <v>200</v>
      </c>
      <c r="Q350">
        <v>1072.7</v>
      </c>
      <c r="V350" t="s">
        <v>603</v>
      </c>
      <c r="W350" s="135" t="s">
        <v>604</v>
      </c>
      <c r="AA350" t="str">
        <f>IFERROR(VLOOKUP(A350,'Capacity of production'!A:C,3,0),"")</f>
        <v/>
      </c>
    </row>
    <row r="351" spans="1:27" ht="15.75" thickBot="1">
      <c r="B351" s="41" t="s">
        <v>310</v>
      </c>
      <c r="C351" s="42" t="s">
        <v>312</v>
      </c>
      <c r="D351" s="284">
        <f>G341/AA336</f>
        <v>1.0727</v>
      </c>
      <c r="E351" s="31">
        <f t="shared" si="51"/>
        <v>526.76675606770573</v>
      </c>
      <c r="F351" s="45" t="s">
        <v>782</v>
      </c>
      <c r="G351" s="32"/>
      <c r="H351" s="32" t="str">
        <f>VLOOKUP(B351,'Full Item list'!A:B,2,0)</f>
        <v>LAB/OH-Mortar</v>
      </c>
      <c r="I351" s="32"/>
      <c r="J351" s="32" t="str">
        <f t="shared" si="52"/>
        <v>H</v>
      </c>
      <c r="K351" s="32" t="str">
        <f>VLOOKUP(H351,'Full Item list'!B:O,14,0)</f>
        <v>H</v>
      </c>
      <c r="L351" s="32"/>
      <c r="O351">
        <f>IFERROR(IF(J351="KG",VLOOKUP(H351,'Cost Price New'!D:E,2,0),VLOOKUP('BOMs setting'!H351,'Cost Price New'!D:I,6,0)),VLOOKUP(H351,A:R,18,0))</f>
        <v>491.06624039126103</v>
      </c>
      <c r="V351" t="s">
        <v>603</v>
      </c>
      <c r="W351" s="135" t="s">
        <v>604</v>
      </c>
      <c r="AA351" t="str">
        <f>IFERROR(VLOOKUP(A351,'Capacity of production'!A:C,3,0),"")</f>
        <v/>
      </c>
    </row>
    <row r="352" spans="1:27" ht="15">
      <c r="B352" s="54"/>
      <c r="C352" s="55"/>
      <c r="D352" s="56"/>
      <c r="E352" s="56" t="s">
        <v>466</v>
      </c>
      <c r="F352" s="56">
        <f ca="1">SUM(E343:E351)</f>
        <v>625.40802413232893</v>
      </c>
      <c r="G352" s="55"/>
      <c r="H352" s="55"/>
      <c r="I352" s="55"/>
      <c r="J352" s="55"/>
      <c r="K352" s="55"/>
      <c r="L352" s="55"/>
      <c r="V352" t="s">
        <v>603</v>
      </c>
      <c r="W352" s="135" t="s">
        <v>604</v>
      </c>
      <c r="AA352" t="str">
        <f>IFERROR(VLOOKUP(A352,'Capacity of production'!A:C,3,0),"")</f>
        <v/>
      </c>
    </row>
    <row r="353" spans="1:27" ht="15.75" thickBot="1">
      <c r="B353" s="54"/>
      <c r="C353" s="55"/>
      <c r="D353" s="55"/>
      <c r="E353" s="56"/>
      <c r="F353" s="55"/>
      <c r="G353" s="55"/>
      <c r="H353" s="55"/>
      <c r="I353" s="55"/>
      <c r="J353" s="55"/>
      <c r="K353" s="55"/>
      <c r="L353" s="55"/>
      <c r="V353" t="s">
        <v>603</v>
      </c>
      <c r="W353" s="135" t="s">
        <v>604</v>
      </c>
      <c r="AA353" t="str">
        <f>IFERROR(VLOOKUP(A353,'Capacity of production'!A:C,3,0),"")</f>
        <v/>
      </c>
    </row>
    <row r="354" spans="1:27" ht="16.5" thickBot="1">
      <c r="A354" t="str">
        <f>B354</f>
        <v>MO082F</v>
      </c>
      <c r="B354" s="20" t="s">
        <v>159</v>
      </c>
      <c r="C354" s="288" t="str">
        <f>VLOOKUP(A354,'All products'!A:B,2,0)</f>
        <v>FERROGROUT-A NEGRO (25KG)</v>
      </c>
      <c r="D354" s="288"/>
      <c r="E354" s="288"/>
      <c r="F354" s="289"/>
      <c r="G354" s="21">
        <v>1</v>
      </c>
      <c r="H354" s="21" t="str">
        <f>VLOOKUP(B354,'Full Item list'!A:B,2,0)</f>
        <v>MO082F</v>
      </c>
      <c r="I354" s="21">
        <f>VLOOKUP(H354,'Full Item list'!B:J,9,0)</f>
        <v>25</v>
      </c>
      <c r="J354" s="21"/>
      <c r="K354" s="21" t="str">
        <f>VLOOKUP(H354,'Full Item list'!B:O,14,0)</f>
        <v>PCS</v>
      </c>
      <c r="L354" s="21"/>
      <c r="M354">
        <f>O354/P354</f>
        <v>0</v>
      </c>
      <c r="N354" t="e">
        <f>VLOOKUP(B354,#REF!,9,0)</f>
        <v>#REF!</v>
      </c>
      <c r="P354">
        <v>25</v>
      </c>
      <c r="Q354">
        <f>SUM(D356:D357)</f>
        <v>25</v>
      </c>
      <c r="R354">
        <f ca="1">OFFSET(F354,MATCH("Total Cost:",E354:E463,0)-1,0,1,1)/G354</f>
        <v>16.191461240368739</v>
      </c>
      <c r="U354" t="str">
        <f>VLOOKUP(H354,'Full Item list'!B:D,3,0)</f>
        <v>Product</v>
      </c>
      <c r="V354" t="s">
        <v>603</v>
      </c>
      <c r="W354" s="135" t="s">
        <v>604</v>
      </c>
      <c r="X354" t="s">
        <v>631</v>
      </c>
      <c r="AA354">
        <f>IFERROR(VLOOKUP(A354,'Capacity of production'!A:C,3,0),"")</f>
        <v>1000</v>
      </c>
    </row>
    <row r="355" spans="1:27" ht="15" thickBot="1">
      <c r="B355" s="23" t="s">
        <v>319</v>
      </c>
      <c r="C355" s="24" t="s">
        <v>320</v>
      </c>
      <c r="D355" s="25" t="s">
        <v>321</v>
      </c>
      <c r="E355" s="25" t="s">
        <v>322</v>
      </c>
      <c r="F355" s="26" t="s">
        <v>323</v>
      </c>
      <c r="G355" s="27"/>
      <c r="H355" s="27"/>
      <c r="I355" s="27"/>
      <c r="J355" s="27"/>
      <c r="K355" s="27"/>
      <c r="L355" s="27"/>
      <c r="V355" t="s">
        <v>603</v>
      </c>
      <c r="W355" s="135" t="s">
        <v>604</v>
      </c>
      <c r="AA355" t="str">
        <f>IFERROR(VLOOKUP(A355,'Capacity of production'!A:C,3,0),"")</f>
        <v/>
      </c>
    </row>
    <row r="356" spans="1:27" ht="15.75" thickBot="1">
      <c r="B356" s="20" t="s">
        <v>580</v>
      </c>
      <c r="C356" s="55" t="str">
        <f>VLOOKUP(B356,'All products'!A:B,2,0)</f>
        <v>FERROGROUT-A NEGRO (KG)</v>
      </c>
      <c r="D356" s="43">
        <v>25</v>
      </c>
      <c r="E356" s="31">
        <f ca="1">O356*D356</f>
        <v>16.191461240368739</v>
      </c>
      <c r="F356" s="45"/>
      <c r="G356" s="32"/>
      <c r="H356" s="32" t="str">
        <f>VLOOKUP(B356,'Full Item list'!A:B,2,0)</f>
        <v>MO082F-1</v>
      </c>
      <c r="I356" s="32"/>
      <c r="J356" s="32" t="str">
        <f>K356</f>
        <v>KG</v>
      </c>
      <c r="K356" s="32" t="str">
        <f>VLOOKUP(H356,'Full Item list'!B:O,14,0)</f>
        <v>KG</v>
      </c>
      <c r="L356" s="32"/>
      <c r="M356">
        <f ca="1">O356/P356</f>
        <v>2.590633798458998E-2</v>
      </c>
      <c r="N356" t="e">
        <f>VLOOKUP(B356,#REF!,9,0)</f>
        <v>#REF!</v>
      </c>
      <c r="O356">
        <f ca="1">IFERROR(IF(J356="KG",VLOOKUP(H356,'Cost Price New'!D:E,2,0),VLOOKUP('BOMs setting'!H356,'Cost Price New'!D:I,6,0)),VLOOKUP(H356,A:R,18,0))</f>
        <v>0.6476584496147495</v>
      </c>
      <c r="P356">
        <v>25</v>
      </c>
      <c r="Q356">
        <v>1</v>
      </c>
      <c r="V356" t="s">
        <v>603</v>
      </c>
      <c r="W356" s="135" t="s">
        <v>604</v>
      </c>
      <c r="AA356" t="str">
        <f>IFERROR(VLOOKUP(A356,'Capacity of production'!A:C,3,0),"")</f>
        <v/>
      </c>
    </row>
    <row r="357" spans="1:27" ht="15">
      <c r="B357" s="54"/>
      <c r="C357" s="55"/>
      <c r="D357" s="56"/>
      <c r="E357" s="56" t="s">
        <v>466</v>
      </c>
      <c r="F357" s="56">
        <f ca="1">E356</f>
        <v>16.191461240368739</v>
      </c>
      <c r="G357" s="55"/>
      <c r="H357" s="55"/>
      <c r="I357" s="55"/>
      <c r="J357" s="55"/>
      <c r="K357" s="55"/>
      <c r="L357" s="55"/>
      <c r="V357" t="s">
        <v>603</v>
      </c>
      <c r="W357" s="135" t="s">
        <v>604</v>
      </c>
      <c r="AA357" t="str">
        <f>IFERROR(VLOOKUP(A357,'Capacity of production'!A:C,3,0),"")</f>
        <v/>
      </c>
    </row>
    <row r="358" spans="1:27" ht="15.75" thickBot="1">
      <c r="B358" s="54"/>
      <c r="C358" s="55"/>
      <c r="D358" s="55"/>
      <c r="E358" s="56"/>
      <c r="F358" s="55"/>
      <c r="G358" s="55"/>
      <c r="H358" s="55"/>
      <c r="I358" s="55"/>
      <c r="J358" s="55"/>
      <c r="K358" s="55"/>
      <c r="L358" s="55"/>
      <c r="V358" t="s">
        <v>603</v>
      </c>
      <c r="W358" s="135" t="s">
        <v>604</v>
      </c>
      <c r="AA358" t="str">
        <f>IFERROR(VLOOKUP(A358,'Capacity of production'!A:C,3,0),"")</f>
        <v/>
      </c>
    </row>
    <row r="359" spans="1:27" ht="16.5" customHeight="1" thickBot="1">
      <c r="A359" t="str">
        <f>B359</f>
        <v>MO082F-1</v>
      </c>
      <c r="B359" s="20" t="s">
        <v>580</v>
      </c>
      <c r="C359" s="288" t="str">
        <f>VLOOKUP(A359,'All products'!A:B,2,0)</f>
        <v>FERROGROUT-A NEGRO (KG)</v>
      </c>
      <c r="D359" s="288"/>
      <c r="E359" s="288"/>
      <c r="F359" s="289"/>
      <c r="G359" s="21">
        <f>Q359</f>
        <v>1097.7</v>
      </c>
      <c r="H359" s="21" t="str">
        <f>VLOOKUP(B359,'Full Item list'!A:B,2,0)</f>
        <v>MO082F-1</v>
      </c>
      <c r="I359" s="21">
        <f>VLOOKUP(H359,'Full Item list'!B:J,9,0)</f>
        <v>1</v>
      </c>
      <c r="J359" s="21"/>
      <c r="K359" s="21" t="str">
        <f>VLOOKUP(H359,'Full Item list'!B:O,14,0)</f>
        <v>KG</v>
      </c>
      <c r="L359" s="21"/>
      <c r="M359">
        <f t="shared" si="47"/>
        <v>0</v>
      </c>
      <c r="N359" t="e">
        <f>VLOOKUP(B359,#REF!,9,0)</f>
        <v>#REF!</v>
      </c>
      <c r="P359">
        <v>25</v>
      </c>
      <c r="Q359">
        <f>SUM(D361:D369)</f>
        <v>1097.7</v>
      </c>
      <c r="R359">
        <f ca="1">OFFSET(F359,MATCH("Total Cost:",E359:E424,0)-1,0,1,1)/G359</f>
        <v>0.6476584496147495</v>
      </c>
      <c r="U359" t="str">
        <f>VLOOKUP(H359,'Full Item list'!B:D,3,0)</f>
        <v>Component</v>
      </c>
      <c r="V359" t="s">
        <v>603</v>
      </c>
      <c r="W359" s="135" t="s">
        <v>604</v>
      </c>
      <c r="X359" t="s">
        <v>631</v>
      </c>
      <c r="AA359" t="str">
        <f>IFERROR(VLOOKUP(A359,'Capacity of production'!A:C,3,0),"")</f>
        <v/>
      </c>
    </row>
    <row r="360" spans="1:27" ht="15" thickBot="1">
      <c r="B360" s="68" t="s">
        <v>319</v>
      </c>
      <c r="C360" s="69" t="s">
        <v>320</v>
      </c>
      <c r="D360" s="70" t="s">
        <v>321</v>
      </c>
      <c r="E360" s="70" t="s">
        <v>322</v>
      </c>
      <c r="F360" s="26" t="s">
        <v>323</v>
      </c>
      <c r="G360" s="27"/>
      <c r="H360" s="27" t="e">
        <f>VLOOKUP(B360,'Full Item list'!A:B,2,0)</f>
        <v>#N/A</v>
      </c>
      <c r="I360" s="27"/>
      <c r="J360" s="27"/>
      <c r="K360" s="27" t="e">
        <f>VLOOKUP(H360,'Full Item list'!B:O,14,0)</f>
        <v>#N/A</v>
      </c>
      <c r="L360" s="27"/>
      <c r="V360" t="s">
        <v>603</v>
      </c>
      <c r="W360" s="135" t="s">
        <v>604</v>
      </c>
      <c r="AA360" t="str">
        <f>IFERROR(VLOOKUP(A360,'Capacity of production'!A:C,3,0),"")</f>
        <v/>
      </c>
    </row>
    <row r="361" spans="1:27" ht="15.75" thickBot="1">
      <c r="B361" s="80" t="s">
        <v>348</v>
      </c>
      <c r="C361" s="72" t="s">
        <v>98</v>
      </c>
      <c r="D361" s="82">
        <v>75</v>
      </c>
      <c r="E361" s="31">
        <f t="shared" ref="E361:E370" si="53">O361*D361</f>
        <v>17.3325</v>
      </c>
      <c r="F361" s="303"/>
      <c r="H361" s="36" t="str">
        <f>VLOOKUP(B361,'Full Item list'!A:B,2,0)</f>
        <v>CE-070</v>
      </c>
      <c r="I361" s="36"/>
      <c r="J361" s="32" t="str">
        <f t="shared" ref="J361:J370" si="54">K361</f>
        <v>KG</v>
      </c>
      <c r="K361" s="36" t="str">
        <f>VLOOKUP(H361,'Full Item list'!B:O,14,0)</f>
        <v>KG</v>
      </c>
      <c r="L361" s="36">
        <v>5</v>
      </c>
      <c r="M361" s="22" t="e">
        <f t="shared" si="47"/>
        <v>#DIV/0!</v>
      </c>
      <c r="N361" s="22" t="e">
        <f>VLOOKUP(B361,#REF!,9,0)</f>
        <v>#REF!</v>
      </c>
      <c r="O361">
        <f>IFERROR(IF(J361="KG",VLOOKUP(H361,'Cost Price New'!D:E,2,0),VLOOKUP('BOMs setting'!H361,'Cost Price New'!D:I,6,0)),VLOOKUP(H361,A:R,18,0))</f>
        <v>0.2311</v>
      </c>
      <c r="P361" s="22"/>
      <c r="Q361">
        <v>1097.7</v>
      </c>
      <c r="V361" t="s">
        <v>602</v>
      </c>
      <c r="W361" s="135" t="s">
        <v>605</v>
      </c>
      <c r="AA361" t="str">
        <f>IFERROR(VLOOKUP(A361,'Capacity of production'!A:C,3,0),"")</f>
        <v/>
      </c>
    </row>
    <row r="362" spans="1:27" ht="15.75" thickBot="1">
      <c r="B362" s="67" t="s">
        <v>343</v>
      </c>
      <c r="C362" s="72" t="s">
        <v>101</v>
      </c>
      <c r="D362" s="85">
        <v>200</v>
      </c>
      <c r="E362" s="31">
        <f t="shared" si="53"/>
        <v>20</v>
      </c>
      <c r="F362" s="308"/>
      <c r="H362" s="36" t="str">
        <f>VLOOKUP(B362,'Full Item list'!A:B,2,0)</f>
        <v>CE-080</v>
      </c>
      <c r="I362" s="36"/>
      <c r="J362" s="32" t="str">
        <f t="shared" si="54"/>
        <v>KG</v>
      </c>
      <c r="K362" s="36" t="str">
        <f>VLOOKUP(H362,'Full Item list'!B:O,14,0)</f>
        <v>KG</v>
      </c>
      <c r="L362" s="36">
        <v>5</v>
      </c>
      <c r="M362" s="22" t="e">
        <f t="shared" si="47"/>
        <v>#DIV/0!</v>
      </c>
      <c r="N362" s="22" t="e">
        <f>VLOOKUP(B362,#REF!,9,0)</f>
        <v>#REF!</v>
      </c>
      <c r="O362">
        <f>IFERROR(IF(J362="KG",VLOOKUP(H362,'Cost Price New'!D:E,2,0),VLOOKUP('BOMs setting'!H362,'Cost Price New'!D:I,6,0)),VLOOKUP(H362,A:R,18,0))</f>
        <v>0.1</v>
      </c>
      <c r="P362" s="22"/>
      <c r="Q362">
        <v>1097.7</v>
      </c>
      <c r="V362" t="s">
        <v>602</v>
      </c>
      <c r="W362" s="135" t="s">
        <v>605</v>
      </c>
      <c r="AA362" t="str">
        <f>IFERROR(VLOOKUP(A362,'Capacity of production'!A:C,3,0),"")</f>
        <v/>
      </c>
    </row>
    <row r="363" spans="1:27" ht="15.75" thickBot="1">
      <c r="B363" s="67" t="s">
        <v>338</v>
      </c>
      <c r="C363" s="74" t="s">
        <v>117</v>
      </c>
      <c r="D363" s="73">
        <v>100</v>
      </c>
      <c r="E363" s="31">
        <f t="shared" si="53"/>
        <v>3.5000000000000004</v>
      </c>
      <c r="F363" s="304"/>
      <c r="H363" s="36" t="str">
        <f>VLOOKUP(B363,'Full Item list'!A:B,2,0)</f>
        <v>FS-550</v>
      </c>
      <c r="I363" s="36"/>
      <c r="J363" s="32" t="str">
        <f t="shared" si="54"/>
        <v>KG</v>
      </c>
      <c r="K363" s="36" t="str">
        <f>VLOOKUP(H363,'Full Item list'!B:O,14,0)</f>
        <v>KG</v>
      </c>
      <c r="L363" s="36">
        <v>5</v>
      </c>
      <c r="M363" s="22" t="e">
        <f t="shared" si="47"/>
        <v>#DIV/0!</v>
      </c>
      <c r="N363" s="22" t="e">
        <f>VLOOKUP(B363,#REF!,9,0)</f>
        <v>#REF!</v>
      </c>
      <c r="O363">
        <f>IFERROR(IF(J363="KG",VLOOKUP(H363,'Cost Price New'!D:E,2,0),VLOOKUP('BOMs setting'!H363,'Cost Price New'!D:I,6,0)),VLOOKUP(H363,A:R,18,0))</f>
        <v>3.5000000000000003E-2</v>
      </c>
      <c r="P363" s="22"/>
      <c r="Q363">
        <v>1097.7</v>
      </c>
      <c r="V363" t="s">
        <v>602</v>
      </c>
      <c r="W363" s="135" t="s">
        <v>605</v>
      </c>
      <c r="AA363" t="str">
        <f>IFERROR(VLOOKUP(A363,'Capacity of production'!A:C,3,0),"")</f>
        <v/>
      </c>
    </row>
    <row r="364" spans="1:27" ht="15.75" thickBot="1">
      <c r="B364" s="67" t="s">
        <v>339</v>
      </c>
      <c r="C364" s="74" t="s">
        <v>119</v>
      </c>
      <c r="D364" s="34">
        <v>250</v>
      </c>
      <c r="E364" s="31">
        <f t="shared" si="53"/>
        <v>8.75</v>
      </c>
      <c r="F364" s="304"/>
      <c r="H364" s="36" t="str">
        <f>VLOOKUP(B364,'Full Item list'!A:B,2,0)</f>
        <v>FS-560</v>
      </c>
      <c r="I364" s="36"/>
      <c r="J364" s="32" t="str">
        <f t="shared" si="54"/>
        <v>KG</v>
      </c>
      <c r="K364" s="36" t="str">
        <f>VLOOKUP(H364,'Full Item list'!B:O,14,0)</f>
        <v>KG</v>
      </c>
      <c r="L364" s="36">
        <v>5</v>
      </c>
      <c r="M364" s="22" t="e">
        <f t="shared" si="47"/>
        <v>#DIV/0!</v>
      </c>
      <c r="N364" s="22" t="e">
        <f>VLOOKUP(B364,#REF!,9,0)</f>
        <v>#REF!</v>
      </c>
      <c r="O364">
        <f>IFERROR(IF(J364="KG",VLOOKUP(H364,'Cost Price New'!D:E,2,0),VLOOKUP('BOMs setting'!H364,'Cost Price New'!D:I,6,0)),VLOOKUP(H364,A:R,18,0))</f>
        <v>3.5000000000000003E-2</v>
      </c>
      <c r="P364" s="22"/>
      <c r="Q364">
        <v>1097.7</v>
      </c>
      <c r="V364" t="s">
        <v>602</v>
      </c>
      <c r="W364" s="135" t="s">
        <v>605</v>
      </c>
      <c r="AA364" t="str">
        <f>IFERROR(VLOOKUP(A364,'Capacity of production'!A:C,3,0),"")</f>
        <v/>
      </c>
    </row>
    <row r="365" spans="1:27" ht="15.75" thickBot="1">
      <c r="B365" s="67" t="s">
        <v>341</v>
      </c>
      <c r="C365" s="74" t="s">
        <v>121</v>
      </c>
      <c r="D365" s="34">
        <v>225</v>
      </c>
      <c r="E365" s="31">
        <f t="shared" si="53"/>
        <v>7.2</v>
      </c>
      <c r="F365" s="304"/>
      <c r="H365" s="36" t="str">
        <f>VLOOKUP(B365,'Full Item list'!A:B,2,0)</f>
        <v>FS-570</v>
      </c>
      <c r="I365" s="36"/>
      <c r="J365" s="32" t="str">
        <f t="shared" si="54"/>
        <v>KG</v>
      </c>
      <c r="K365" s="36" t="str">
        <f>VLOOKUP(H365,'Full Item list'!B:O,14,0)</f>
        <v>KG</v>
      </c>
      <c r="L365" s="36">
        <v>5</v>
      </c>
      <c r="M365" s="22" t="e">
        <f t="shared" si="47"/>
        <v>#DIV/0!</v>
      </c>
      <c r="N365" s="22" t="e">
        <f>VLOOKUP(B365,#REF!,9,0)</f>
        <v>#REF!</v>
      </c>
      <c r="O365">
        <f>IFERROR(IF(J365="KG",VLOOKUP(H365,'Cost Price New'!D:E,2,0),VLOOKUP('BOMs setting'!H365,'Cost Price New'!D:I,6,0)),VLOOKUP(H365,A:R,18,0))</f>
        <v>3.2000000000000001E-2</v>
      </c>
      <c r="P365" s="22"/>
      <c r="Q365">
        <v>1097.7</v>
      </c>
      <c r="V365" t="s">
        <v>602</v>
      </c>
      <c r="W365" s="135" t="s">
        <v>605</v>
      </c>
      <c r="AA365" t="str">
        <f>IFERROR(VLOOKUP(A365,'Capacity of production'!A:C,3,0),"")</f>
        <v/>
      </c>
    </row>
    <row r="366" spans="1:27" ht="15.75" thickBot="1">
      <c r="B366" s="67" t="s">
        <v>347</v>
      </c>
      <c r="C366" s="74" t="s">
        <v>123</v>
      </c>
      <c r="D366" s="34">
        <v>200</v>
      </c>
      <c r="E366" s="31">
        <f t="shared" si="53"/>
        <v>7.0000000000000009</v>
      </c>
      <c r="F366" s="304"/>
      <c r="H366" s="36" t="str">
        <f>VLOOKUP(B366,'Full Item list'!A:B,2,0)</f>
        <v>FS-580</v>
      </c>
      <c r="I366" s="36"/>
      <c r="J366" s="32" t="str">
        <f t="shared" si="54"/>
        <v>KG</v>
      </c>
      <c r="K366" s="36" t="str">
        <f>VLOOKUP(H366,'Full Item list'!B:O,14,0)</f>
        <v>KG</v>
      </c>
      <c r="L366" s="36">
        <v>5</v>
      </c>
      <c r="M366" s="22" t="e">
        <f t="shared" si="47"/>
        <v>#DIV/0!</v>
      </c>
      <c r="N366" s="22" t="e">
        <f>VLOOKUP(B366,#REF!,9,0)</f>
        <v>#REF!</v>
      </c>
      <c r="O366">
        <f>IFERROR(IF(J366="KG",VLOOKUP(H366,'Cost Price New'!D:E,2,0),VLOOKUP('BOMs setting'!H366,'Cost Price New'!D:I,6,0)),VLOOKUP(H366,A:R,18,0))</f>
        <v>3.5000000000000003E-2</v>
      </c>
      <c r="P366" s="22"/>
      <c r="Q366">
        <v>1097.7</v>
      </c>
      <c r="V366" t="s">
        <v>602</v>
      </c>
      <c r="W366" s="135" t="s">
        <v>605</v>
      </c>
      <c r="AA366" t="str">
        <f>IFERROR(VLOOKUP(A366,'Capacity of production'!A:C,3,0),"")</f>
        <v/>
      </c>
    </row>
    <row r="367" spans="1:27" ht="15.75" thickBot="1">
      <c r="B367" s="67" t="s">
        <v>166</v>
      </c>
      <c r="C367" s="74" t="s">
        <v>350</v>
      </c>
      <c r="D367" s="58">
        <v>20</v>
      </c>
      <c r="E367" s="31">
        <f t="shared" si="53"/>
        <v>26.400000000000002</v>
      </c>
      <c r="F367" s="304"/>
      <c r="H367" s="36" t="str">
        <f>VLOOKUP(B367,'Full Item list'!A:B,2,0)</f>
        <v>FL-010</v>
      </c>
      <c r="I367" s="36"/>
      <c r="J367" s="32" t="s">
        <v>639</v>
      </c>
      <c r="K367" s="36" t="str">
        <f>VLOOKUP(H367,'Full Item list'!B:O,14,0)</f>
        <v>PCS</v>
      </c>
      <c r="L367" s="36">
        <v>5</v>
      </c>
      <c r="M367">
        <f t="shared" si="47"/>
        <v>6.6000000000000003E-2</v>
      </c>
      <c r="N367" t="e">
        <f>VLOOKUP(B367,#REF!,9,0)</f>
        <v>#REF!</v>
      </c>
      <c r="O367">
        <f>IFERROR(IF(J367="KG",VLOOKUP(H367,'Cost Price New'!D:E,2,0),VLOOKUP('BOMs setting'!H367,'Cost Price New'!D:I,6,0)),VLOOKUP(H367,A:R,18,0))</f>
        <v>1.32</v>
      </c>
      <c r="P367">
        <v>20</v>
      </c>
      <c r="Q367">
        <v>1097.7</v>
      </c>
      <c r="V367" t="s">
        <v>603</v>
      </c>
      <c r="W367" s="135" t="s">
        <v>604</v>
      </c>
      <c r="AA367" t="str">
        <f>IFERROR(VLOOKUP(A367,'Capacity of production'!A:C,3,0),"")</f>
        <v/>
      </c>
    </row>
    <row r="368" spans="1:27" ht="15.75" thickBot="1">
      <c r="B368" s="67" t="s">
        <v>329</v>
      </c>
      <c r="C368" s="86" t="s">
        <v>194</v>
      </c>
      <c r="D368" s="58">
        <v>25</v>
      </c>
      <c r="E368" s="31">
        <f t="shared" si="53"/>
        <v>73.25</v>
      </c>
      <c r="F368" s="304"/>
      <c r="H368" s="36" t="str">
        <f>VLOOKUP(B368,'Full Item list'!A:B,2,0)</f>
        <v>PG-470</v>
      </c>
      <c r="I368" s="36"/>
      <c r="J368" s="32" t="str">
        <f t="shared" si="54"/>
        <v>KG</v>
      </c>
      <c r="K368" s="36" t="str">
        <f>VLOOKUP(H368,'Full Item list'!B:O,14,0)</f>
        <v>KG</v>
      </c>
      <c r="L368" s="36">
        <v>5</v>
      </c>
      <c r="M368">
        <f t="shared" si="47"/>
        <v>0.11720000000000001</v>
      </c>
      <c r="N368" t="e">
        <f>VLOOKUP(B368,#REF!,9,0)</f>
        <v>#REF!</v>
      </c>
      <c r="O368">
        <f>IFERROR(IF(J368="KG",VLOOKUP(H368,'Cost Price New'!D:E,2,0),VLOOKUP('BOMs setting'!H368,'Cost Price New'!D:I,6,0)),VLOOKUP(H368,A:R,18,0))</f>
        <v>2.93</v>
      </c>
      <c r="P368">
        <v>25</v>
      </c>
      <c r="Q368">
        <v>1097.7</v>
      </c>
      <c r="V368" t="s">
        <v>603</v>
      </c>
      <c r="W368" s="135" t="s">
        <v>604</v>
      </c>
      <c r="AA368" t="str">
        <f>IFERROR(VLOOKUP(A368,'Capacity of production'!A:C,3,0),"")</f>
        <v/>
      </c>
    </row>
    <row r="369" spans="1:27" ht="15.75" thickBot="1">
      <c r="B369" s="75" t="s">
        <v>239</v>
      </c>
      <c r="C369" s="76" t="s">
        <v>240</v>
      </c>
      <c r="D369" s="39">
        <v>2.7</v>
      </c>
      <c r="E369" s="31">
        <f t="shared" ca="1" si="53"/>
        <v>8.4587680646232162</v>
      </c>
      <c r="F369" s="305"/>
      <c r="H369" s="36" t="str">
        <f>VLOOKUP(B369,'Full Item list'!A:B,2,0)</f>
        <v>SPMO001</v>
      </c>
      <c r="I369" s="36"/>
      <c r="J369" s="32" t="str">
        <f t="shared" si="54"/>
        <v>KG</v>
      </c>
      <c r="K369" s="36" t="str">
        <f>VLOOKUP(H369,'Full Item list'!B:O,14,0)</f>
        <v>KG</v>
      </c>
      <c r="L369" s="36">
        <v>0.1</v>
      </c>
      <c r="M369">
        <f t="shared" ca="1" si="47"/>
        <v>1.5664385304857805E-2</v>
      </c>
      <c r="N369" t="e">
        <f>VLOOKUP(B369,#REF!,9,0)</f>
        <v>#REF!</v>
      </c>
      <c r="O369">
        <f ca="1">IFERROR(IF(J369="KG",VLOOKUP(H369,'Cost Price New'!D:E,2,0),VLOOKUP('BOMs setting'!H369,'Cost Price New'!D:I,6,0)),VLOOKUP(H369,A:R,18,0))</f>
        <v>3.1328770609715613</v>
      </c>
      <c r="P369">
        <v>200</v>
      </c>
      <c r="Q369">
        <v>1097.7</v>
      </c>
      <c r="V369" t="s">
        <v>603</v>
      </c>
      <c r="W369" s="135" t="s">
        <v>604</v>
      </c>
      <c r="AA369" t="str">
        <f>IFERROR(VLOOKUP(A369,'Capacity of production'!A:C,3,0),"")</f>
        <v/>
      </c>
    </row>
    <row r="370" spans="1:27" ht="15.75" thickBot="1">
      <c r="B370" s="41" t="s">
        <v>310</v>
      </c>
      <c r="C370" s="42" t="s">
        <v>312</v>
      </c>
      <c r="D370" s="284">
        <f>G359/AA354</f>
        <v>1.0977000000000001</v>
      </c>
      <c r="E370" s="31">
        <f t="shared" si="53"/>
        <v>539.04341207748735</v>
      </c>
      <c r="F370" s="45" t="s">
        <v>782</v>
      </c>
      <c r="G370" s="32"/>
      <c r="H370" s="32" t="str">
        <f>VLOOKUP(B370,'Full Item list'!A:B,2,0)</f>
        <v>LAB/OH-Mortar</v>
      </c>
      <c r="I370" s="32"/>
      <c r="J370" s="32" t="str">
        <f t="shared" si="54"/>
        <v>H</v>
      </c>
      <c r="K370" s="32" t="str">
        <f>VLOOKUP(H370,'Full Item list'!B:O,14,0)</f>
        <v>H</v>
      </c>
      <c r="L370" s="32"/>
      <c r="O370">
        <f>IFERROR(IF(J370="KG",VLOOKUP(H370,'Cost Price New'!D:E,2,0),VLOOKUP('BOMs setting'!H370,'Cost Price New'!D:I,6,0)),VLOOKUP(H370,A:R,18,0))</f>
        <v>491.06624039126103</v>
      </c>
      <c r="V370" t="s">
        <v>603</v>
      </c>
      <c r="W370" s="135" t="s">
        <v>604</v>
      </c>
      <c r="AA370" t="str">
        <f>IFERROR(VLOOKUP(A370,'Capacity of production'!A:C,3,0),"")</f>
        <v/>
      </c>
    </row>
    <row r="371" spans="1:27" ht="15">
      <c r="B371" s="54"/>
      <c r="C371" s="55"/>
      <c r="D371" s="56"/>
      <c r="E371" s="56" t="s">
        <v>466</v>
      </c>
      <c r="F371" s="56">
        <f ca="1">SUM(E361:E370)</f>
        <v>710.93468014211055</v>
      </c>
      <c r="G371" s="55"/>
      <c r="H371" s="55"/>
      <c r="I371" s="55"/>
      <c r="J371" s="55"/>
      <c r="K371" s="55"/>
      <c r="L371" s="55"/>
      <c r="V371" t="s">
        <v>603</v>
      </c>
      <c r="W371" s="135" t="s">
        <v>604</v>
      </c>
      <c r="AA371" t="str">
        <f>IFERROR(VLOOKUP(A371,'Capacity of production'!A:C,3,0),"")</f>
        <v/>
      </c>
    </row>
    <row r="372" spans="1:27" ht="15.75" thickBot="1">
      <c r="B372" s="54"/>
      <c r="C372" s="55"/>
      <c r="D372" s="55"/>
      <c r="E372" s="56"/>
      <c r="F372" s="55"/>
      <c r="G372" s="55"/>
      <c r="H372" s="55"/>
      <c r="I372" s="55"/>
      <c r="J372" s="55"/>
      <c r="K372" s="55"/>
      <c r="L372" s="55"/>
      <c r="V372" t="s">
        <v>603</v>
      </c>
      <c r="W372" s="135" t="s">
        <v>604</v>
      </c>
      <c r="AA372" t="str">
        <f>IFERROR(VLOOKUP(A372,'Capacity of production'!A:C,3,0),"")</f>
        <v/>
      </c>
    </row>
    <row r="373" spans="1:27" ht="16.5" thickBot="1">
      <c r="A373" t="str">
        <f>B373</f>
        <v>MO051F</v>
      </c>
      <c r="B373" s="20" t="s">
        <v>581</v>
      </c>
      <c r="C373" s="288" t="str">
        <f>VLOOKUP(A373,'All products'!A:B,2,0)</f>
        <v>TECNOGROUT-K (25KG)</v>
      </c>
      <c r="D373" s="288"/>
      <c r="E373" s="288"/>
      <c r="F373" s="289"/>
      <c r="G373" s="21">
        <v>1</v>
      </c>
      <c r="H373" s="21" t="str">
        <f>VLOOKUP(B373,'Full Item list'!A:B,2,0)</f>
        <v>MO051F</v>
      </c>
      <c r="I373" s="21">
        <f>VLOOKUP(H373,'Full Item list'!B:J,9,0)</f>
        <v>25</v>
      </c>
      <c r="J373" s="21"/>
      <c r="K373" s="21" t="str">
        <f>VLOOKUP(H373,'Full Item list'!B:O,14,0)</f>
        <v>PCS</v>
      </c>
      <c r="L373" s="21"/>
      <c r="M373">
        <f>O373/P373</f>
        <v>0</v>
      </c>
      <c r="N373" t="e">
        <f>VLOOKUP(B373,#REF!,9,0)</f>
        <v>#REF!</v>
      </c>
      <c r="P373">
        <v>25</v>
      </c>
      <c r="Q373">
        <f>SUM(D375:D376)</f>
        <v>25</v>
      </c>
      <c r="R373">
        <f ca="1">OFFSET(F373,MATCH("Total Cost:",E373:E487,0)-1,0,1,1)/G373</f>
        <v>6.2930968721428879</v>
      </c>
      <c r="U373" t="str">
        <f>VLOOKUP(H373,'Full Item list'!B:D,3,0)</f>
        <v>Product</v>
      </c>
      <c r="V373" t="s">
        <v>603</v>
      </c>
      <c r="W373" s="135" t="s">
        <v>604</v>
      </c>
      <c r="X373" t="s">
        <v>631</v>
      </c>
      <c r="AA373">
        <f>IFERROR(VLOOKUP(A373,'Capacity of production'!A:C,3,0),"")</f>
        <v>3000</v>
      </c>
    </row>
    <row r="374" spans="1:27" ht="15" thickBot="1">
      <c r="B374" s="23" t="s">
        <v>319</v>
      </c>
      <c r="C374" s="24" t="s">
        <v>320</v>
      </c>
      <c r="D374" s="25" t="s">
        <v>321</v>
      </c>
      <c r="E374" s="25" t="s">
        <v>322</v>
      </c>
      <c r="F374" s="26" t="s">
        <v>323</v>
      </c>
      <c r="G374" s="27"/>
      <c r="H374" s="27"/>
      <c r="I374" s="27"/>
      <c r="J374" s="27"/>
      <c r="K374" s="27"/>
      <c r="L374" s="27"/>
      <c r="V374" t="s">
        <v>603</v>
      </c>
      <c r="W374" s="135" t="s">
        <v>604</v>
      </c>
      <c r="AA374" t="str">
        <f>IFERROR(VLOOKUP(A374,'Capacity of production'!A:C,3,0),"")</f>
        <v/>
      </c>
    </row>
    <row r="375" spans="1:27" ht="15.75" thickBot="1">
      <c r="B375" s="20" t="s">
        <v>582</v>
      </c>
      <c r="C375" s="55" t="str">
        <f>VLOOKUP(B375,'All products'!A:B,2,0)</f>
        <v>TECNOGROUT-K (KG)</v>
      </c>
      <c r="D375" s="43">
        <v>25</v>
      </c>
      <c r="E375" s="31">
        <f ca="1">O375*D375</f>
        <v>6.2930968721428879</v>
      </c>
      <c r="F375" s="45"/>
      <c r="G375" s="32"/>
      <c r="H375" s="32" t="str">
        <f>VLOOKUP(B375,'Full Item list'!A:B,2,0)</f>
        <v>MO051F-1</v>
      </c>
      <c r="I375" s="32"/>
      <c r="J375" s="32" t="str">
        <f>K375</f>
        <v>KG</v>
      </c>
      <c r="K375" s="32" t="str">
        <f>VLOOKUP(H375,'Full Item list'!B:O,14,0)</f>
        <v>KG</v>
      </c>
      <c r="L375" s="32"/>
      <c r="M375">
        <f ca="1">O375/P375</f>
        <v>1.0068954995428621E-2</v>
      </c>
      <c r="N375" t="e">
        <f>VLOOKUP(B375,#REF!,9,0)</f>
        <v>#REF!</v>
      </c>
      <c r="O375">
        <f ca="1">IFERROR(IF(J375="KG",VLOOKUP(H375,'Cost Price New'!D:E,2,0),VLOOKUP('BOMs setting'!H375,'Cost Price New'!D:I,6,0)),VLOOKUP(H375,A:R,18,0))</f>
        <v>0.25172387488571552</v>
      </c>
      <c r="P375">
        <v>25</v>
      </c>
      <c r="Q375">
        <v>1</v>
      </c>
      <c r="V375" t="s">
        <v>603</v>
      </c>
      <c r="W375" s="135" t="s">
        <v>604</v>
      </c>
      <c r="AA375" t="str">
        <f>IFERROR(VLOOKUP(A375,'Capacity of production'!A:C,3,0),"")</f>
        <v/>
      </c>
    </row>
    <row r="376" spans="1:27" ht="15">
      <c r="B376" s="54"/>
      <c r="C376" s="55"/>
      <c r="D376" s="56"/>
      <c r="E376" s="56" t="s">
        <v>466</v>
      </c>
      <c r="F376" s="56">
        <f ca="1">E375</f>
        <v>6.2930968721428879</v>
      </c>
      <c r="G376" s="55"/>
      <c r="H376" s="55"/>
      <c r="I376" s="55"/>
      <c r="J376" s="55"/>
      <c r="K376" s="55"/>
      <c r="L376" s="55"/>
      <c r="V376" t="s">
        <v>603</v>
      </c>
      <c r="W376" s="135" t="s">
        <v>604</v>
      </c>
      <c r="AA376" t="str">
        <f>IFERROR(VLOOKUP(A376,'Capacity of production'!A:C,3,0),"")</f>
        <v/>
      </c>
    </row>
    <row r="377" spans="1:27" ht="15.75" thickBot="1">
      <c r="B377" s="54"/>
      <c r="C377" s="55"/>
      <c r="D377" s="55"/>
      <c r="E377" s="56"/>
      <c r="F377" s="55"/>
      <c r="G377" s="55"/>
      <c r="H377" s="55"/>
      <c r="I377" s="55"/>
      <c r="J377" s="55"/>
      <c r="K377" s="55"/>
      <c r="L377" s="55"/>
      <c r="V377" t="s">
        <v>603</v>
      </c>
      <c r="W377" s="135" t="s">
        <v>604</v>
      </c>
      <c r="AA377" t="str">
        <f>IFERROR(VLOOKUP(A377,'Capacity of production'!A:C,3,0),"")</f>
        <v/>
      </c>
    </row>
    <row r="378" spans="1:27" ht="16.5" thickBot="1">
      <c r="A378" t="str">
        <f>B378</f>
        <v>MO051F-1</v>
      </c>
      <c r="B378" s="20" t="s">
        <v>582</v>
      </c>
      <c r="C378" s="288" t="str">
        <f>VLOOKUP(A378,'All products'!A:B,2,0)</f>
        <v>TECNOGROUT-K (KG)</v>
      </c>
      <c r="D378" s="288"/>
      <c r="E378" s="288"/>
      <c r="F378" s="289"/>
      <c r="G378" s="21">
        <f>Q378</f>
        <v>1026.3</v>
      </c>
      <c r="H378" s="21" t="str">
        <f>VLOOKUP(B378,'Full Item list'!A:B,2,0)</f>
        <v>MO051F-1</v>
      </c>
      <c r="I378" s="21">
        <f>VLOOKUP(H378,'Full Item list'!B:J,9,0)</f>
        <v>1</v>
      </c>
      <c r="J378" s="21"/>
      <c r="K378" s="21" t="str">
        <f>VLOOKUP(H378,'Full Item list'!B:O,14,0)</f>
        <v>KG</v>
      </c>
      <c r="L378" s="21"/>
      <c r="M378">
        <f t="shared" si="47"/>
        <v>0</v>
      </c>
      <c r="N378" t="e">
        <f>VLOOKUP(B378,#REF!,9,0)</f>
        <v>#REF!</v>
      </c>
      <c r="P378">
        <v>25</v>
      </c>
      <c r="Q378">
        <f>SUM(D380:D387)</f>
        <v>1026.3</v>
      </c>
      <c r="R378">
        <f ca="1">OFFSET(F378,MATCH("Total Cost:",E378:E448,0)-1,0,1,1)/G378</f>
        <v>0.25172387488571552</v>
      </c>
      <c r="U378" t="str">
        <f>VLOOKUP(H378,'Full Item list'!B:D,3,0)</f>
        <v>Component</v>
      </c>
      <c r="V378" t="s">
        <v>603</v>
      </c>
      <c r="W378" s="135" t="s">
        <v>604</v>
      </c>
      <c r="X378" t="s">
        <v>631</v>
      </c>
      <c r="Y378" t="s">
        <v>632</v>
      </c>
      <c r="AA378" t="str">
        <f>IFERROR(VLOOKUP(A378,'Capacity of production'!A:C,3,0),"")</f>
        <v/>
      </c>
    </row>
    <row r="379" spans="1:27" ht="15" thickBot="1">
      <c r="B379" s="68" t="s">
        <v>319</v>
      </c>
      <c r="C379" s="69" t="s">
        <v>320</v>
      </c>
      <c r="D379" s="70" t="s">
        <v>321</v>
      </c>
      <c r="E379" s="70" t="s">
        <v>322</v>
      </c>
      <c r="F379" s="26" t="s">
        <v>323</v>
      </c>
      <c r="G379" s="27"/>
      <c r="H379" s="27"/>
      <c r="I379" s="27"/>
      <c r="J379" s="27"/>
      <c r="K379" s="27"/>
      <c r="L379" s="27"/>
      <c r="V379" t="s">
        <v>603</v>
      </c>
      <c r="W379" s="135" t="s">
        <v>604</v>
      </c>
      <c r="AA379" t="str">
        <f>IFERROR(VLOOKUP(A379,'Capacity of production'!A:C,3,0),"")</f>
        <v/>
      </c>
    </row>
    <row r="380" spans="1:27" ht="15.75" thickBot="1">
      <c r="B380" s="71" t="s">
        <v>343</v>
      </c>
      <c r="C380" s="77" t="s">
        <v>101</v>
      </c>
      <c r="D380" s="73">
        <v>300</v>
      </c>
      <c r="E380" s="31">
        <f t="shared" ref="E380:E388" si="55">O380*D380</f>
        <v>30</v>
      </c>
      <c r="F380" s="290"/>
      <c r="G380" s="36"/>
      <c r="H380" s="36" t="str">
        <f>VLOOKUP(B380,'Full Item list'!A:B,2,0)</f>
        <v>CE-080</v>
      </c>
      <c r="I380" s="36"/>
      <c r="J380" s="32" t="str">
        <f t="shared" ref="J380:J388" si="56">K380</f>
        <v>KG</v>
      </c>
      <c r="K380" s="36" t="str">
        <f>VLOOKUP(H380,'Full Item list'!B:O,14,0)</f>
        <v>KG</v>
      </c>
      <c r="L380" s="36">
        <v>5</v>
      </c>
      <c r="M380" s="22" t="e">
        <f t="shared" si="47"/>
        <v>#DIV/0!</v>
      </c>
      <c r="N380" s="22" t="e">
        <f>VLOOKUP(B380,#REF!,9,0)</f>
        <v>#REF!</v>
      </c>
      <c r="O380">
        <f>IFERROR(IF(J380="KG",VLOOKUP(H380,'Cost Price New'!D:E,2,0),VLOOKUP('BOMs setting'!H380,'Cost Price New'!D:I,6,0)),VLOOKUP(H380,A:R,18,0))</f>
        <v>0.1</v>
      </c>
      <c r="P380" s="22"/>
      <c r="Q380">
        <v>1026.3</v>
      </c>
      <c r="V380" t="s">
        <v>602</v>
      </c>
      <c r="W380" s="135" t="s">
        <v>605</v>
      </c>
      <c r="AA380" t="str">
        <f>IFERROR(VLOOKUP(A380,'Capacity of production'!A:C,3,0),"")</f>
        <v/>
      </c>
    </row>
    <row r="381" spans="1:27" ht="15.75" thickBot="1">
      <c r="B381" s="67" t="s">
        <v>348</v>
      </c>
      <c r="C381" s="77" t="s">
        <v>98</v>
      </c>
      <c r="D381" s="73">
        <v>70</v>
      </c>
      <c r="E381" s="31">
        <f t="shared" si="55"/>
        <v>16.177</v>
      </c>
      <c r="F381" s="290"/>
      <c r="G381" s="36"/>
      <c r="H381" s="36" t="str">
        <f>VLOOKUP(B381,'Full Item list'!A:B,2,0)</f>
        <v>CE-070</v>
      </c>
      <c r="I381" s="36"/>
      <c r="J381" s="32" t="str">
        <f t="shared" si="56"/>
        <v>KG</v>
      </c>
      <c r="K381" s="36" t="str">
        <f>VLOOKUP(H381,'Full Item list'!B:O,14,0)</f>
        <v>KG</v>
      </c>
      <c r="L381" s="36">
        <v>5</v>
      </c>
      <c r="M381" s="22" t="e">
        <f t="shared" si="47"/>
        <v>#DIV/0!</v>
      </c>
      <c r="N381" s="22" t="e">
        <f>VLOOKUP(B381,#REF!,9,0)</f>
        <v>#REF!</v>
      </c>
      <c r="O381">
        <f>IFERROR(IF(J381="KG",VLOOKUP(H381,'Cost Price New'!D:E,2,0),VLOOKUP('BOMs setting'!H381,'Cost Price New'!D:I,6,0)),VLOOKUP(H381,A:R,18,0))</f>
        <v>0.2311</v>
      </c>
      <c r="P381" s="22"/>
      <c r="Q381">
        <v>1026.3</v>
      </c>
      <c r="V381" t="s">
        <v>602</v>
      </c>
      <c r="W381" s="135" t="s">
        <v>605</v>
      </c>
      <c r="AA381" t="str">
        <f>IFERROR(VLOOKUP(A381,'Capacity of production'!A:C,3,0),"")</f>
        <v/>
      </c>
    </row>
    <row r="382" spans="1:27" ht="15.75" thickBot="1">
      <c r="B382" s="67" t="s">
        <v>338</v>
      </c>
      <c r="C382" s="78" t="s">
        <v>117</v>
      </c>
      <c r="D382" s="34">
        <v>300</v>
      </c>
      <c r="E382" s="31">
        <f t="shared" si="55"/>
        <v>10.500000000000002</v>
      </c>
      <c r="F382" s="291"/>
      <c r="G382" s="36"/>
      <c r="H382" s="36" t="str">
        <f>VLOOKUP(B382,'Full Item list'!A:B,2,0)</f>
        <v>FS-550</v>
      </c>
      <c r="I382" s="36"/>
      <c r="J382" s="32" t="str">
        <f t="shared" si="56"/>
        <v>KG</v>
      </c>
      <c r="K382" s="36" t="str">
        <f>VLOOKUP(H382,'Full Item list'!B:O,14,0)</f>
        <v>KG</v>
      </c>
      <c r="L382" s="36">
        <v>5</v>
      </c>
      <c r="M382" s="22" t="e">
        <f t="shared" si="47"/>
        <v>#DIV/0!</v>
      </c>
      <c r="N382" s="22" t="e">
        <f>VLOOKUP(B382,#REF!,9,0)</f>
        <v>#REF!</v>
      </c>
      <c r="O382">
        <f>IFERROR(IF(J382="KG",VLOOKUP(H382,'Cost Price New'!D:E,2,0),VLOOKUP('BOMs setting'!H382,'Cost Price New'!D:I,6,0)),VLOOKUP(H382,A:R,18,0))</f>
        <v>3.5000000000000003E-2</v>
      </c>
      <c r="P382" s="22"/>
      <c r="Q382">
        <v>1026.3</v>
      </c>
      <c r="V382" t="s">
        <v>602</v>
      </c>
      <c r="W382" s="135" t="s">
        <v>605</v>
      </c>
      <c r="AA382" t="str">
        <f>IFERROR(VLOOKUP(A382,'Capacity of production'!A:C,3,0),"")</f>
        <v/>
      </c>
    </row>
    <row r="383" spans="1:27" ht="15.75" thickBot="1">
      <c r="B383" s="67" t="s">
        <v>339</v>
      </c>
      <c r="C383" s="78" t="s">
        <v>119</v>
      </c>
      <c r="D383" s="34">
        <v>350</v>
      </c>
      <c r="E383" s="31">
        <f t="shared" si="55"/>
        <v>12.250000000000002</v>
      </c>
      <c r="F383" s="291"/>
      <c r="G383" s="36"/>
      <c r="H383" s="36" t="str">
        <f>VLOOKUP(B383,'Full Item list'!A:B,2,0)</f>
        <v>FS-560</v>
      </c>
      <c r="I383" s="36"/>
      <c r="J383" s="32" t="str">
        <f t="shared" si="56"/>
        <v>KG</v>
      </c>
      <c r="K383" s="36" t="str">
        <f>VLOOKUP(H383,'Full Item list'!B:O,14,0)</f>
        <v>KG</v>
      </c>
      <c r="L383" s="36">
        <v>5</v>
      </c>
      <c r="M383" s="22" t="e">
        <f t="shared" si="47"/>
        <v>#DIV/0!</v>
      </c>
      <c r="N383" s="22" t="e">
        <f>VLOOKUP(B383,#REF!,9,0)</f>
        <v>#REF!</v>
      </c>
      <c r="O383">
        <f>IFERROR(IF(J383="KG",VLOOKUP(H383,'Cost Price New'!D:E,2,0),VLOOKUP('BOMs setting'!H383,'Cost Price New'!D:I,6,0)),VLOOKUP(H383,A:R,18,0))</f>
        <v>3.5000000000000003E-2</v>
      </c>
      <c r="P383" s="22"/>
      <c r="Q383">
        <v>1026.3</v>
      </c>
      <c r="V383" t="s">
        <v>602</v>
      </c>
      <c r="W383" s="135" t="s">
        <v>605</v>
      </c>
      <c r="AA383" t="str">
        <f>IFERROR(VLOOKUP(A383,'Capacity of production'!A:C,3,0),"")</f>
        <v/>
      </c>
    </row>
    <row r="384" spans="1:27" ht="15.75" thickBot="1">
      <c r="B384" s="67" t="s">
        <v>341</v>
      </c>
      <c r="C384" s="78" t="s">
        <v>121</v>
      </c>
      <c r="D384" s="34">
        <v>0</v>
      </c>
      <c r="E384" s="31">
        <f t="shared" si="55"/>
        <v>0</v>
      </c>
      <c r="F384" s="291"/>
      <c r="G384" s="36"/>
      <c r="H384" s="36" t="str">
        <f>VLOOKUP(B384,'Full Item list'!A:B,2,0)</f>
        <v>FS-570</v>
      </c>
      <c r="I384" s="36"/>
      <c r="J384" s="32" t="str">
        <f t="shared" si="56"/>
        <v>KG</v>
      </c>
      <c r="K384" s="36" t="str">
        <f>VLOOKUP(H384,'Full Item list'!B:O,14,0)</f>
        <v>KG</v>
      </c>
      <c r="L384" s="36">
        <v>5</v>
      </c>
      <c r="M384" s="22" t="e">
        <f t="shared" si="47"/>
        <v>#DIV/0!</v>
      </c>
      <c r="N384" s="22" t="e">
        <f>VLOOKUP(B384,#REF!,9,0)</f>
        <v>#REF!</v>
      </c>
      <c r="O384">
        <f>IFERROR(IF(J384="KG",VLOOKUP(H384,'Cost Price New'!D:E,2,0),VLOOKUP('BOMs setting'!H384,'Cost Price New'!D:I,6,0)),VLOOKUP(H384,A:R,18,0))</f>
        <v>3.2000000000000001E-2</v>
      </c>
      <c r="P384" s="22"/>
      <c r="Q384">
        <v>1026.3</v>
      </c>
      <c r="V384" t="s">
        <v>602</v>
      </c>
      <c r="W384" s="135" t="s">
        <v>605</v>
      </c>
      <c r="AA384" t="str">
        <f>IFERROR(VLOOKUP(A384,'Capacity of production'!A:C,3,0),"")</f>
        <v/>
      </c>
    </row>
    <row r="385" spans="1:27" ht="15.75" thickBot="1">
      <c r="B385" s="67" t="s">
        <v>347</v>
      </c>
      <c r="C385" s="78" t="s">
        <v>123</v>
      </c>
      <c r="D385" s="34">
        <v>0</v>
      </c>
      <c r="E385" s="31">
        <f t="shared" si="55"/>
        <v>0</v>
      </c>
      <c r="F385" s="291"/>
      <c r="G385" s="36"/>
      <c r="H385" s="36" t="str">
        <f>VLOOKUP(B385,'Full Item list'!A:B,2,0)</f>
        <v>FS-580</v>
      </c>
      <c r="I385" s="36"/>
      <c r="J385" s="32" t="str">
        <f t="shared" si="56"/>
        <v>KG</v>
      </c>
      <c r="K385" s="36" t="str">
        <f>VLOOKUP(H385,'Full Item list'!B:O,14,0)</f>
        <v>KG</v>
      </c>
      <c r="L385" s="36">
        <v>5</v>
      </c>
      <c r="M385" s="22" t="e">
        <f t="shared" si="47"/>
        <v>#DIV/0!</v>
      </c>
      <c r="N385" s="22" t="e">
        <f>VLOOKUP(B385,#REF!,9,0)</f>
        <v>#REF!</v>
      </c>
      <c r="O385">
        <f>IFERROR(IF(J385="KG",VLOOKUP(H385,'Cost Price New'!D:E,2,0),VLOOKUP('BOMs setting'!H385,'Cost Price New'!D:I,6,0)),VLOOKUP(H385,A:R,18,0))</f>
        <v>3.5000000000000003E-2</v>
      </c>
      <c r="P385" s="22"/>
      <c r="Q385">
        <v>1026.3</v>
      </c>
      <c r="V385" t="s">
        <v>602</v>
      </c>
      <c r="W385" s="135" t="s">
        <v>605</v>
      </c>
      <c r="AA385" t="str">
        <f>IFERROR(VLOOKUP(A385,'Capacity of production'!A:C,3,0),"")</f>
        <v/>
      </c>
    </row>
    <row r="386" spans="1:27" ht="15.75" thickBot="1">
      <c r="B386" s="87" t="s">
        <v>183</v>
      </c>
      <c r="C386" s="88" t="s">
        <v>184</v>
      </c>
      <c r="D386" s="58">
        <v>0.5</v>
      </c>
      <c r="E386" s="31">
        <f t="shared" si="55"/>
        <v>4.8499999999999996</v>
      </c>
      <c r="F386" s="293"/>
      <c r="G386" s="36"/>
      <c r="H386" s="36" t="str">
        <f>VLOOKUP(B386,'Full Item list'!A:B,2,0)</f>
        <v>FN-010</v>
      </c>
      <c r="I386" s="36"/>
      <c r="J386" s="32" t="str">
        <f t="shared" si="56"/>
        <v>KG</v>
      </c>
      <c r="K386" s="36" t="str">
        <f>VLOOKUP(H386,'Full Item list'!B:O,14,0)</f>
        <v>KG</v>
      </c>
      <c r="L386" s="36">
        <v>5</v>
      </c>
      <c r="M386">
        <f t="shared" si="47"/>
        <v>0.64666666666666661</v>
      </c>
      <c r="N386" t="e">
        <f>VLOOKUP(B386,#REF!,9,0)</f>
        <v>#REF!</v>
      </c>
      <c r="O386">
        <f>IFERROR(IF(J386="KG",VLOOKUP(H386,'Cost Price New'!D:E,2,0),VLOOKUP('BOMs setting'!H386,'Cost Price New'!D:I,6,0)),VLOOKUP(H386,A:R,18,0))</f>
        <v>9.6999999999999993</v>
      </c>
      <c r="P386">
        <v>15</v>
      </c>
      <c r="Q386">
        <v>1026.3</v>
      </c>
      <c r="V386" t="s">
        <v>603</v>
      </c>
      <c r="W386" s="135" t="s">
        <v>604</v>
      </c>
      <c r="AA386" t="str">
        <f>IFERROR(VLOOKUP(A386,'Capacity of production'!A:C,3,0),"")</f>
        <v/>
      </c>
    </row>
    <row r="387" spans="1:27" ht="15.75" thickBot="1">
      <c r="B387" s="75" t="s">
        <v>242</v>
      </c>
      <c r="C387" s="79" t="s">
        <v>243</v>
      </c>
      <c r="D387" s="39">
        <v>5.8</v>
      </c>
      <c r="E387" s="31">
        <f t="shared" ca="1" si="55"/>
        <v>16.573451957359456</v>
      </c>
      <c r="F387" s="292"/>
      <c r="G387" s="36"/>
      <c r="H387" s="36" t="str">
        <f>VLOOKUP(B387,'Full Item list'!A:B,2,0)</f>
        <v>SPMO002</v>
      </c>
      <c r="I387" s="36"/>
      <c r="J387" s="32" t="str">
        <f t="shared" si="56"/>
        <v>KG</v>
      </c>
      <c r="K387" s="36" t="str">
        <f>VLOOKUP(H387,'Full Item list'!B:O,14,0)</f>
        <v>KG</v>
      </c>
      <c r="L387" s="36">
        <v>0.1</v>
      </c>
      <c r="M387">
        <f t="shared" ca="1" si="47"/>
        <v>1.4287458583930567E-2</v>
      </c>
      <c r="N387" t="e">
        <f>VLOOKUP(B387,#REF!,9,0)</f>
        <v>#REF!</v>
      </c>
      <c r="O387">
        <f ca="1">IFERROR(IF(J387="KG",VLOOKUP(H387,'Cost Price New'!D:E,2,0),VLOOKUP('BOMs setting'!H387,'Cost Price New'!D:I,6,0)),VLOOKUP(H387,A:R,18,0))</f>
        <v>2.8574917167861131</v>
      </c>
      <c r="P387">
        <v>200</v>
      </c>
      <c r="Q387">
        <v>1026.3</v>
      </c>
      <c r="V387" t="s">
        <v>603</v>
      </c>
      <c r="W387" s="135" t="s">
        <v>604</v>
      </c>
      <c r="AA387" t="str">
        <f>IFERROR(VLOOKUP(A387,'Capacity of production'!A:C,3,0),"")</f>
        <v/>
      </c>
    </row>
    <row r="388" spans="1:27" ht="15.75" thickBot="1">
      <c r="B388" s="41" t="s">
        <v>310</v>
      </c>
      <c r="C388" s="42" t="s">
        <v>312</v>
      </c>
      <c r="D388" s="284">
        <f>G378/AA373</f>
        <v>0.34209999999999996</v>
      </c>
      <c r="E388" s="31">
        <f t="shared" si="55"/>
        <v>167.99376083785037</v>
      </c>
      <c r="F388" s="45" t="s">
        <v>782</v>
      </c>
      <c r="G388" s="32"/>
      <c r="H388" s="32" t="str">
        <f>VLOOKUP(B388,'Full Item list'!A:B,2,0)</f>
        <v>LAB/OH-Mortar</v>
      </c>
      <c r="I388" s="32"/>
      <c r="J388" s="32" t="str">
        <f t="shared" si="56"/>
        <v>H</v>
      </c>
      <c r="K388" s="32" t="str">
        <f>VLOOKUP(H388,'Full Item list'!B:O,14,0)</f>
        <v>H</v>
      </c>
      <c r="L388" s="32"/>
      <c r="O388">
        <f>IFERROR(IF(J388="KG",VLOOKUP(H388,'Cost Price New'!D:E,2,0),VLOOKUP('BOMs setting'!H388,'Cost Price New'!D:I,6,0)),VLOOKUP(H388,A:R,18,0))</f>
        <v>491.06624039126103</v>
      </c>
      <c r="V388" t="s">
        <v>603</v>
      </c>
      <c r="W388" s="135" t="s">
        <v>604</v>
      </c>
      <c r="AA388" t="str">
        <f>IFERROR(VLOOKUP(A388,'Capacity of production'!A:C,3,0),"")</f>
        <v/>
      </c>
    </row>
    <row r="389" spans="1:27" ht="15">
      <c r="B389" s="54"/>
      <c r="C389" s="55"/>
      <c r="D389" s="56"/>
      <c r="E389" s="56" t="s">
        <v>466</v>
      </c>
      <c r="F389" s="56">
        <f ca="1">SUM(E380:E388)</f>
        <v>258.34421279520984</v>
      </c>
      <c r="G389" s="55"/>
      <c r="H389" s="55"/>
      <c r="I389" s="55"/>
      <c r="J389" s="55"/>
      <c r="K389" s="55"/>
      <c r="L389" s="55"/>
      <c r="V389" t="s">
        <v>603</v>
      </c>
      <c r="W389" s="135" t="s">
        <v>604</v>
      </c>
      <c r="AA389" t="str">
        <f>IFERROR(VLOOKUP(A389,'Capacity of production'!A:C,3,0),"")</f>
        <v/>
      </c>
    </row>
    <row r="390" spans="1:27" ht="15.75" thickBot="1">
      <c r="B390" s="54"/>
      <c r="C390" s="55"/>
      <c r="D390" s="55"/>
      <c r="E390" s="56"/>
      <c r="F390" s="55"/>
      <c r="G390" s="55"/>
      <c r="H390" s="55"/>
      <c r="I390" s="55"/>
      <c r="J390" s="55"/>
      <c r="K390" s="55"/>
      <c r="L390" s="55"/>
      <c r="V390" t="s">
        <v>603</v>
      </c>
      <c r="W390" s="135" t="s">
        <v>604</v>
      </c>
      <c r="AA390" t="str">
        <f>IFERROR(VLOOKUP(A390,'Capacity of production'!A:C,3,0),"")</f>
        <v/>
      </c>
    </row>
    <row r="391" spans="1:27" ht="16.5" thickBot="1">
      <c r="A391" t="str">
        <f>B391</f>
        <v>MO075F</v>
      </c>
      <c r="B391" s="20" t="s">
        <v>583</v>
      </c>
      <c r="C391" s="288" t="str">
        <f>VLOOKUP(A391,'All products'!A:B,2,0)</f>
        <v>TECNOGROUT-FIB (25KG)</v>
      </c>
      <c r="D391" s="288"/>
      <c r="E391" s="288"/>
      <c r="F391" s="289"/>
      <c r="G391" s="21">
        <v>1</v>
      </c>
      <c r="H391" s="21" t="str">
        <f>VLOOKUP(B391,'Full Item list'!A:B,2,0)</f>
        <v>MO075F</v>
      </c>
      <c r="I391" s="21">
        <f>VLOOKUP(H391,'Full Item list'!B:J,9,0)</f>
        <v>25</v>
      </c>
      <c r="J391" s="21"/>
      <c r="K391" s="21" t="str">
        <f>VLOOKUP(H391,'Full Item list'!B:O,14,0)</f>
        <v>PCS</v>
      </c>
      <c r="L391" s="21"/>
      <c r="M391">
        <f>O391/P391</f>
        <v>0</v>
      </c>
      <c r="N391" t="e">
        <f>VLOOKUP(B391,#REF!,9,0)</f>
        <v>#REF!</v>
      </c>
      <c r="P391">
        <v>25</v>
      </c>
      <c r="Q391">
        <f>SUM(D393:D394)</f>
        <v>25</v>
      </c>
      <c r="R391">
        <f ca="1">OFFSET(F391,MATCH("Total Cost:",E391:E515,0)-1,0,1,1)/G391</f>
        <v>6.9324308971642878</v>
      </c>
      <c r="U391" t="str">
        <f>VLOOKUP(H391,'Full Item list'!B:D,3,0)</f>
        <v>Product</v>
      </c>
      <c r="V391" t="s">
        <v>603</v>
      </c>
      <c r="W391" s="135" t="s">
        <v>604</v>
      </c>
      <c r="X391" t="s">
        <v>631</v>
      </c>
      <c r="AA391">
        <f>IFERROR(VLOOKUP(A391,'Capacity of production'!A:C,3,0),"")</f>
        <v>3000</v>
      </c>
    </row>
    <row r="392" spans="1:27" ht="15" thickBot="1">
      <c r="B392" s="23" t="s">
        <v>319</v>
      </c>
      <c r="C392" s="24" t="s">
        <v>320</v>
      </c>
      <c r="D392" s="25" t="s">
        <v>321</v>
      </c>
      <c r="E392" s="25" t="s">
        <v>322</v>
      </c>
      <c r="F392" s="26" t="s">
        <v>323</v>
      </c>
      <c r="G392" s="27"/>
      <c r="H392" s="27"/>
      <c r="I392" s="27"/>
      <c r="J392" s="27"/>
      <c r="K392" s="27"/>
      <c r="L392" s="27"/>
      <c r="V392" t="s">
        <v>603</v>
      </c>
      <c r="W392" s="135" t="s">
        <v>604</v>
      </c>
      <c r="AA392" t="str">
        <f>IFERROR(VLOOKUP(A392,'Capacity of production'!A:C,3,0),"")</f>
        <v/>
      </c>
    </row>
    <row r="393" spans="1:27" ht="15.75" thickBot="1">
      <c r="B393" s="20" t="s">
        <v>584</v>
      </c>
      <c r="C393" s="55" t="str">
        <f>VLOOKUP(B393,'All products'!A:B,2,0)</f>
        <v>TECNOGROUT-FIB (KG)</v>
      </c>
      <c r="D393" s="43">
        <v>25</v>
      </c>
      <c r="E393" s="31">
        <f ca="1">O393*D393</f>
        <v>6.9324308971642878</v>
      </c>
      <c r="F393" s="45"/>
      <c r="G393" s="32"/>
      <c r="H393" s="32" t="str">
        <f>VLOOKUP(B393,'Full Item list'!A:B,2,0)</f>
        <v>MO075F-1</v>
      </c>
      <c r="I393" s="32"/>
      <c r="J393" s="32" t="str">
        <f>K393</f>
        <v>KG</v>
      </c>
      <c r="K393" s="32" t="str">
        <f>VLOOKUP(H393,'Full Item list'!B:O,14,0)</f>
        <v>KG</v>
      </c>
      <c r="L393" s="32"/>
      <c r="M393">
        <f ca="1">O393/P393</f>
        <v>1.1091889435462861E-2</v>
      </c>
      <c r="N393" t="e">
        <f>VLOOKUP(B393,#REF!,9,0)</f>
        <v>#REF!</v>
      </c>
      <c r="O393">
        <f ca="1">IFERROR(IF(J393="KG",VLOOKUP(H393,'Cost Price New'!D:E,2,0),VLOOKUP('BOMs setting'!H393,'Cost Price New'!D:I,6,0)),VLOOKUP(H393,A:R,18,0))</f>
        <v>0.27729723588657151</v>
      </c>
      <c r="P393">
        <v>25</v>
      </c>
      <c r="Q393">
        <v>1</v>
      </c>
      <c r="V393" t="s">
        <v>603</v>
      </c>
      <c r="W393" s="135" t="s">
        <v>604</v>
      </c>
      <c r="AA393" t="str">
        <f>IFERROR(VLOOKUP(A393,'Capacity of production'!A:C,3,0),"")</f>
        <v/>
      </c>
    </row>
    <row r="394" spans="1:27" ht="15">
      <c r="B394" s="54"/>
      <c r="C394" s="55"/>
      <c r="D394" s="56"/>
      <c r="E394" s="56" t="s">
        <v>466</v>
      </c>
      <c r="F394" s="56">
        <f ca="1">E393</f>
        <v>6.9324308971642878</v>
      </c>
      <c r="G394" s="55"/>
      <c r="H394" s="55"/>
      <c r="I394" s="55"/>
      <c r="J394" s="55"/>
      <c r="K394" s="55"/>
      <c r="L394" s="55"/>
      <c r="V394" t="s">
        <v>603</v>
      </c>
      <c r="W394" s="135" t="s">
        <v>604</v>
      </c>
      <c r="AA394" t="str">
        <f>IFERROR(VLOOKUP(A394,'Capacity of production'!A:C,3,0),"")</f>
        <v/>
      </c>
    </row>
    <row r="395" spans="1:27" ht="15.75" thickBot="1">
      <c r="B395" s="54"/>
      <c r="C395" s="55"/>
      <c r="D395" s="55"/>
      <c r="E395" s="56"/>
      <c r="F395" s="55"/>
      <c r="G395" s="55"/>
      <c r="H395" s="55"/>
      <c r="I395" s="55"/>
      <c r="J395" s="55"/>
      <c r="K395" s="55"/>
      <c r="L395" s="55"/>
      <c r="V395" t="s">
        <v>603</v>
      </c>
      <c r="W395" s="135" t="s">
        <v>604</v>
      </c>
      <c r="AA395" t="str">
        <f>IFERROR(VLOOKUP(A395,'Capacity of production'!A:C,3,0),"")</f>
        <v/>
      </c>
    </row>
    <row r="396" spans="1:27" ht="16.5" thickBot="1">
      <c r="A396" t="str">
        <f>B396</f>
        <v>MO075F-1</v>
      </c>
      <c r="B396" s="20" t="s">
        <v>584</v>
      </c>
      <c r="C396" s="288" t="str">
        <f>VLOOKUP(A396,'All products'!A:B,2,0)</f>
        <v>TECNOGROUT-FIB (KG)</v>
      </c>
      <c r="D396" s="288"/>
      <c r="E396" s="288"/>
      <c r="F396" s="289"/>
      <c r="G396" s="21">
        <f>Q396</f>
        <v>980.8</v>
      </c>
      <c r="H396" s="21" t="str">
        <f>VLOOKUP(B396,'Full Item list'!A:B,2,0)</f>
        <v>MO075F-1</v>
      </c>
      <c r="I396" s="21">
        <f>VLOOKUP(H396,'Full Item list'!B:J,9,0)</f>
        <v>1</v>
      </c>
      <c r="J396" s="21"/>
      <c r="K396" s="21" t="str">
        <f>VLOOKUP(H396,'Full Item list'!B:O,14,0)</f>
        <v>KG</v>
      </c>
      <c r="L396" s="21"/>
      <c r="M396">
        <f t="shared" si="47"/>
        <v>0</v>
      </c>
      <c r="N396" t="e">
        <f>VLOOKUP(B396,#REF!,9,0)</f>
        <v>#REF!</v>
      </c>
      <c r="P396">
        <v>25</v>
      </c>
      <c r="Q396">
        <f>SUM(D398:D404)</f>
        <v>980.8</v>
      </c>
      <c r="R396">
        <f ca="1">OFFSET(F396,MATCH("Total Cost:",E396:E466,0)-1,0,1,1)/G396</f>
        <v>0.27729723588657151</v>
      </c>
      <c r="U396" t="str">
        <f>VLOOKUP(H396,'Full Item list'!B:D,3,0)</f>
        <v>Component</v>
      </c>
      <c r="V396" t="s">
        <v>603</v>
      </c>
      <c r="W396" s="135" t="s">
        <v>604</v>
      </c>
      <c r="X396" t="s">
        <v>631</v>
      </c>
      <c r="AA396" t="str">
        <f>IFERROR(VLOOKUP(A396,'Capacity of production'!A:C,3,0),"")</f>
        <v/>
      </c>
    </row>
    <row r="397" spans="1:27" ht="15" thickBot="1">
      <c r="B397" s="68" t="s">
        <v>319</v>
      </c>
      <c r="C397" s="69" t="s">
        <v>320</v>
      </c>
      <c r="D397" s="70" t="s">
        <v>321</v>
      </c>
      <c r="E397" s="70" t="s">
        <v>322</v>
      </c>
      <c r="F397" s="26" t="s">
        <v>323</v>
      </c>
      <c r="G397" s="27"/>
      <c r="H397" s="27"/>
      <c r="I397" s="27"/>
      <c r="J397" s="27"/>
      <c r="K397" s="27"/>
      <c r="L397" s="27"/>
      <c r="V397" t="s">
        <v>603</v>
      </c>
      <c r="W397" s="135" t="s">
        <v>604</v>
      </c>
      <c r="AA397" t="str">
        <f>IFERROR(VLOOKUP(A397,'Capacity of production'!A:C,3,0),"")</f>
        <v/>
      </c>
    </row>
    <row r="398" spans="1:27" ht="15.75" thickBot="1">
      <c r="B398" s="71" t="s">
        <v>343</v>
      </c>
      <c r="C398" s="77" t="s">
        <v>101</v>
      </c>
      <c r="D398" s="73">
        <v>50</v>
      </c>
      <c r="E398" s="31">
        <f t="shared" ref="E398:E405" si="57">O398*D398</f>
        <v>5</v>
      </c>
      <c r="F398" s="290"/>
      <c r="G398" s="32"/>
      <c r="H398" s="32" t="str">
        <f>VLOOKUP(B398,'Full Item list'!A:B,2,0)</f>
        <v>CE-080</v>
      </c>
      <c r="I398" s="32"/>
      <c r="J398" s="32" t="str">
        <f t="shared" ref="J398:J405" si="58">K398</f>
        <v>KG</v>
      </c>
      <c r="K398" s="32" t="str">
        <f>VLOOKUP(H398,'Full Item list'!B:O,14,0)</f>
        <v>KG</v>
      </c>
      <c r="L398" s="36">
        <v>5</v>
      </c>
      <c r="M398" s="22" t="e">
        <f t="shared" si="47"/>
        <v>#DIV/0!</v>
      </c>
      <c r="N398" s="22" t="e">
        <f>VLOOKUP(B398,#REF!,9,0)</f>
        <v>#REF!</v>
      </c>
      <c r="O398">
        <f>IFERROR(IF(J398="KG",VLOOKUP(H398,'Cost Price New'!D:E,2,0),VLOOKUP('BOMs setting'!H398,'Cost Price New'!D:I,6,0)),VLOOKUP(H398,A:R,18,0))</f>
        <v>0.1</v>
      </c>
      <c r="P398" s="22"/>
      <c r="Q398">
        <v>980.8</v>
      </c>
      <c r="V398" t="s">
        <v>602</v>
      </c>
      <c r="W398" s="135" t="s">
        <v>605</v>
      </c>
      <c r="AA398" t="str">
        <f>IFERROR(VLOOKUP(A398,'Capacity of production'!A:C,3,0),"")</f>
        <v/>
      </c>
    </row>
    <row r="399" spans="1:27" ht="15.75" thickBot="1">
      <c r="B399" s="67" t="s">
        <v>348</v>
      </c>
      <c r="C399" s="77" t="s">
        <v>98</v>
      </c>
      <c r="D399" s="73">
        <v>275</v>
      </c>
      <c r="E399" s="31">
        <f t="shared" si="57"/>
        <v>63.552500000000002</v>
      </c>
      <c r="F399" s="290"/>
      <c r="G399" s="32"/>
      <c r="H399" s="32" t="str">
        <f>VLOOKUP(B399,'Full Item list'!A:B,2,0)</f>
        <v>CE-070</v>
      </c>
      <c r="I399" s="32"/>
      <c r="J399" s="32" t="str">
        <f t="shared" si="58"/>
        <v>KG</v>
      </c>
      <c r="K399" s="32" t="str">
        <f>VLOOKUP(H399,'Full Item list'!B:O,14,0)</f>
        <v>KG</v>
      </c>
      <c r="L399" s="36">
        <v>5</v>
      </c>
      <c r="M399" s="22" t="e">
        <f t="shared" si="47"/>
        <v>#DIV/0!</v>
      </c>
      <c r="N399" s="22" t="e">
        <f>VLOOKUP(B399,#REF!,9,0)</f>
        <v>#REF!</v>
      </c>
      <c r="O399">
        <f>IFERROR(IF(J399="KG",VLOOKUP(H399,'Cost Price New'!D:E,2,0),VLOOKUP('BOMs setting'!H399,'Cost Price New'!D:I,6,0)),VLOOKUP(H399,A:R,18,0))</f>
        <v>0.2311</v>
      </c>
      <c r="P399" s="22"/>
      <c r="Q399">
        <v>980.8</v>
      </c>
      <c r="V399" t="s">
        <v>602</v>
      </c>
      <c r="W399" s="135" t="s">
        <v>605</v>
      </c>
      <c r="AA399" t="str">
        <f>IFERROR(VLOOKUP(A399,'Capacity of production'!A:C,3,0),"")</f>
        <v/>
      </c>
    </row>
    <row r="400" spans="1:27" ht="15.75" thickBot="1">
      <c r="B400" s="67" t="s">
        <v>338</v>
      </c>
      <c r="C400" s="78" t="s">
        <v>117</v>
      </c>
      <c r="D400" s="34">
        <v>225</v>
      </c>
      <c r="E400" s="31">
        <f t="shared" si="57"/>
        <v>7.8750000000000009</v>
      </c>
      <c r="F400" s="291"/>
      <c r="G400" s="36"/>
      <c r="H400" s="36" t="str">
        <f>VLOOKUP(B400,'Full Item list'!A:B,2,0)</f>
        <v>FS-550</v>
      </c>
      <c r="I400" s="36"/>
      <c r="J400" s="32" t="str">
        <f t="shared" si="58"/>
        <v>KG</v>
      </c>
      <c r="K400" s="36" t="str">
        <f>VLOOKUP(H400,'Full Item list'!B:O,14,0)</f>
        <v>KG</v>
      </c>
      <c r="L400" s="36">
        <v>5</v>
      </c>
      <c r="M400" s="22" t="e">
        <f t="shared" si="47"/>
        <v>#DIV/0!</v>
      </c>
      <c r="N400" s="22" t="e">
        <f>VLOOKUP(B400,#REF!,9,0)</f>
        <v>#REF!</v>
      </c>
      <c r="O400">
        <f>IFERROR(IF(J400="KG",VLOOKUP(H400,'Cost Price New'!D:E,2,0),VLOOKUP('BOMs setting'!H400,'Cost Price New'!D:I,6,0)),VLOOKUP(H400,A:R,18,0))</f>
        <v>3.5000000000000003E-2</v>
      </c>
      <c r="P400" s="22"/>
      <c r="Q400">
        <v>980.8</v>
      </c>
      <c r="V400" t="s">
        <v>602</v>
      </c>
      <c r="W400" s="135" t="s">
        <v>605</v>
      </c>
      <c r="AA400" t="str">
        <f>IFERROR(VLOOKUP(A400,'Capacity of production'!A:C,3,0),"")</f>
        <v/>
      </c>
    </row>
    <row r="401" spans="1:30" ht="15.75" thickBot="1">
      <c r="B401" s="67" t="s">
        <v>339</v>
      </c>
      <c r="C401" s="78" t="s">
        <v>119</v>
      </c>
      <c r="D401" s="34">
        <v>225</v>
      </c>
      <c r="E401" s="31">
        <f t="shared" si="57"/>
        <v>7.8750000000000009</v>
      </c>
      <c r="F401" s="291"/>
      <c r="G401" s="36"/>
      <c r="H401" s="36" t="str">
        <f>VLOOKUP(B401,'Full Item list'!A:B,2,0)</f>
        <v>FS-560</v>
      </c>
      <c r="I401" s="36"/>
      <c r="J401" s="32" t="str">
        <f t="shared" si="58"/>
        <v>KG</v>
      </c>
      <c r="K401" s="36" t="str">
        <f>VLOOKUP(H401,'Full Item list'!B:O,14,0)</f>
        <v>KG</v>
      </c>
      <c r="L401" s="36">
        <v>5</v>
      </c>
      <c r="M401" s="22" t="e">
        <f t="shared" si="47"/>
        <v>#DIV/0!</v>
      </c>
      <c r="N401" s="22" t="e">
        <f>VLOOKUP(B401,#REF!,9,0)</f>
        <v>#REF!</v>
      </c>
      <c r="O401">
        <f>IFERROR(IF(J401="KG",VLOOKUP(H401,'Cost Price New'!D:E,2,0),VLOOKUP('BOMs setting'!H401,'Cost Price New'!D:I,6,0)),VLOOKUP(H401,A:R,18,0))</f>
        <v>3.5000000000000003E-2</v>
      </c>
      <c r="P401" s="22"/>
      <c r="Q401">
        <v>980.8</v>
      </c>
      <c r="V401" t="s">
        <v>602</v>
      </c>
      <c r="W401" s="135" t="s">
        <v>605</v>
      </c>
      <c r="Z401" t="s">
        <v>612</v>
      </c>
      <c r="AA401" t="str">
        <f>IFERROR(VLOOKUP(A401,'Capacity of production'!A:C,3,0),"")</f>
        <v/>
      </c>
      <c r="AB401" t="s">
        <v>613</v>
      </c>
    </row>
    <row r="402" spans="1:30" ht="15.75" thickBot="1">
      <c r="B402" s="67" t="s">
        <v>341</v>
      </c>
      <c r="C402" s="78" t="s">
        <v>121</v>
      </c>
      <c r="D402" s="34">
        <v>200</v>
      </c>
      <c r="E402" s="31">
        <f t="shared" si="57"/>
        <v>6.4</v>
      </c>
      <c r="F402" s="291"/>
      <c r="G402" s="36"/>
      <c r="H402" s="36" t="str">
        <f>VLOOKUP(B402,'Full Item list'!A:B,2,0)</f>
        <v>FS-570</v>
      </c>
      <c r="I402" s="36"/>
      <c r="J402" s="32" t="str">
        <f t="shared" si="58"/>
        <v>KG</v>
      </c>
      <c r="K402" s="36" t="str">
        <f>VLOOKUP(H402,'Full Item list'!B:O,14,0)</f>
        <v>KG</v>
      </c>
      <c r="L402" s="36">
        <v>5</v>
      </c>
      <c r="M402" s="22" t="e">
        <f t="shared" si="47"/>
        <v>#DIV/0!</v>
      </c>
      <c r="N402" s="22" t="e">
        <f>VLOOKUP(B402,#REF!,9,0)</f>
        <v>#REF!</v>
      </c>
      <c r="O402">
        <f>IFERROR(IF(J402="KG",VLOOKUP(H402,'Cost Price New'!D:E,2,0),VLOOKUP('BOMs setting'!H402,'Cost Price New'!D:I,6,0)),VLOOKUP(H402,A:R,18,0))</f>
        <v>3.2000000000000001E-2</v>
      </c>
      <c r="P402" s="22"/>
      <c r="Q402">
        <v>980.8</v>
      </c>
      <c r="V402" t="s">
        <v>602</v>
      </c>
      <c r="W402" s="135" t="s">
        <v>605</v>
      </c>
      <c r="AA402" t="str">
        <f>IFERROR(VLOOKUP(A402,'Capacity of production'!A:C,3,0),"")</f>
        <v/>
      </c>
      <c r="AB402" t="s">
        <v>614</v>
      </c>
    </row>
    <row r="403" spans="1:30" ht="15.75" thickBot="1">
      <c r="B403" s="67" t="s">
        <v>174</v>
      </c>
      <c r="C403" s="88" t="s">
        <v>175</v>
      </c>
      <c r="D403" s="58">
        <v>0.5</v>
      </c>
      <c r="E403" s="31">
        <f t="shared" si="57"/>
        <v>5.58</v>
      </c>
      <c r="F403" s="293"/>
      <c r="G403" s="36" t="s">
        <v>611</v>
      </c>
      <c r="H403" s="36" t="str">
        <f>VLOOKUP(B403,'Full Item list'!A:B,2,0)</f>
        <v>FR-010</v>
      </c>
      <c r="I403" s="36"/>
      <c r="J403" s="32" t="str">
        <f t="shared" si="58"/>
        <v>KG</v>
      </c>
      <c r="K403" s="36" t="str">
        <f>VLOOKUP(H403,'Full Item list'!B:O,14,0)</f>
        <v>KG</v>
      </c>
      <c r="L403" s="36">
        <v>0.1</v>
      </c>
      <c r="M403" s="22" t="e">
        <f>O403/P403</f>
        <v>#DIV/0!</v>
      </c>
      <c r="N403" s="22" t="e">
        <f>VLOOKUP(B403,#REF!,9,0)</f>
        <v>#REF!</v>
      </c>
      <c r="O403">
        <f>IFERROR(IF(J403="KG",VLOOKUP(H403,'Cost Price New'!D:E,2,0),VLOOKUP('BOMs setting'!H403,'Cost Price New'!D:I,6,0)),VLOOKUP(H403,A:R,18,0))</f>
        <v>11.16</v>
      </c>
      <c r="P403" s="22"/>
      <c r="Q403">
        <v>980.8</v>
      </c>
      <c r="S403" t="s">
        <v>609</v>
      </c>
      <c r="T403" t="s">
        <v>610</v>
      </c>
      <c r="V403" t="s">
        <v>603</v>
      </c>
      <c r="W403" s="135" t="s">
        <v>604</v>
      </c>
      <c r="AA403" t="str">
        <f>IFERROR(VLOOKUP(A403,'Capacity of production'!A:C,3,0),"")</f>
        <v/>
      </c>
      <c r="AB403" t="s">
        <v>615</v>
      </c>
      <c r="AD403" s="22" t="s">
        <v>616</v>
      </c>
    </row>
    <row r="404" spans="1:30" ht="15.75" thickBot="1">
      <c r="B404" s="75" t="s">
        <v>242</v>
      </c>
      <c r="C404" s="79" t="s">
        <v>243</v>
      </c>
      <c r="D404" s="39">
        <v>5.3</v>
      </c>
      <c r="E404" s="31">
        <f t="shared" ca="1" si="57"/>
        <v>15.144706098966399</v>
      </c>
      <c r="F404" s="292"/>
      <c r="G404" s="36"/>
      <c r="H404" s="36" t="str">
        <f>VLOOKUP(B404,'Full Item list'!A:B,2,0)</f>
        <v>SPMO002</v>
      </c>
      <c r="I404" s="36"/>
      <c r="J404" s="32" t="str">
        <f t="shared" si="58"/>
        <v>KG</v>
      </c>
      <c r="K404" s="36" t="str">
        <f>VLOOKUP(H404,'Full Item list'!B:O,14,0)</f>
        <v>KG</v>
      </c>
      <c r="L404" s="36">
        <v>0.1</v>
      </c>
      <c r="M404">
        <f ca="1">O404/P404</f>
        <v>1.4287458583930567E-2</v>
      </c>
      <c r="N404" t="e">
        <f>VLOOKUP(B404,#REF!,9,0)</f>
        <v>#REF!</v>
      </c>
      <c r="O404">
        <f ca="1">IFERROR(IF(J404="KG",VLOOKUP(H404,'Cost Price New'!D:E,2,0),VLOOKUP('BOMs setting'!H404,'Cost Price New'!D:I,6,0)),VLOOKUP(H404,A:R,18,0))</f>
        <v>2.8574917167861131</v>
      </c>
      <c r="P404">
        <v>200</v>
      </c>
      <c r="Q404">
        <v>980.8</v>
      </c>
      <c r="V404" t="s">
        <v>603</v>
      </c>
      <c r="W404" s="135" t="s">
        <v>604</v>
      </c>
      <c r="Z404" t="s">
        <v>612</v>
      </c>
      <c r="AA404" t="str">
        <f>IFERROR(VLOOKUP(A404,'Capacity of production'!A:C,3,0),"")</f>
        <v/>
      </c>
      <c r="AD404" s="22" t="s">
        <v>616</v>
      </c>
    </row>
    <row r="405" spans="1:30" ht="15.75" thickBot="1">
      <c r="B405" s="41" t="s">
        <v>310</v>
      </c>
      <c r="C405" s="42" t="s">
        <v>312</v>
      </c>
      <c r="D405" s="284">
        <f>G396/AA391</f>
        <v>0.3269333333333333</v>
      </c>
      <c r="E405" s="31">
        <f t="shared" si="57"/>
        <v>160.54592285858291</v>
      </c>
      <c r="F405" s="45" t="s">
        <v>782</v>
      </c>
      <c r="G405" s="32"/>
      <c r="H405" s="32" t="str">
        <f>VLOOKUP(B405,'Full Item list'!A:B,2,0)</f>
        <v>LAB/OH-Mortar</v>
      </c>
      <c r="I405" s="32"/>
      <c r="J405" s="32" t="str">
        <f t="shared" si="58"/>
        <v>H</v>
      </c>
      <c r="K405" s="32" t="str">
        <f>VLOOKUP(H405,'Full Item list'!B:O,14,0)</f>
        <v>H</v>
      </c>
      <c r="L405" s="32"/>
      <c r="O405">
        <f>IFERROR(IF(J405="KG",VLOOKUP(H405,'Cost Price New'!D:E,2,0),VLOOKUP('BOMs setting'!H405,'Cost Price New'!D:I,6,0)),VLOOKUP(H405,A:R,18,0))</f>
        <v>491.06624039126103</v>
      </c>
      <c r="V405" t="s">
        <v>603</v>
      </c>
      <c r="W405" s="135" t="s">
        <v>604</v>
      </c>
      <c r="AA405" t="str">
        <f>IFERROR(VLOOKUP(A405,'Capacity of production'!A:C,3,0),"")</f>
        <v/>
      </c>
      <c r="AD405" t="s">
        <v>617</v>
      </c>
    </row>
    <row r="406" spans="1:30" ht="15">
      <c r="B406" s="54"/>
      <c r="C406" s="55"/>
      <c r="D406" s="56"/>
      <c r="E406" s="56" t="s">
        <v>466</v>
      </c>
      <c r="F406" s="56">
        <f ca="1">SUM(E398:E405)</f>
        <v>271.97312895754931</v>
      </c>
      <c r="G406" s="55"/>
      <c r="H406" s="55"/>
      <c r="I406" s="55"/>
      <c r="J406" s="55"/>
      <c r="K406" s="55"/>
      <c r="L406" s="55"/>
      <c r="V406" t="s">
        <v>603</v>
      </c>
      <c r="W406" s="135" t="s">
        <v>604</v>
      </c>
      <c r="AA406" t="str">
        <f>IFERROR(VLOOKUP(A406,'Capacity of production'!A:C,3,0),"")</f>
        <v/>
      </c>
      <c r="AD406" t="s">
        <v>618</v>
      </c>
    </row>
    <row r="407" spans="1:30" ht="15.75" thickBot="1">
      <c r="B407" s="54"/>
      <c r="C407" s="55"/>
      <c r="D407" s="55"/>
      <c r="E407" s="56"/>
      <c r="F407" s="55"/>
      <c r="G407" s="55"/>
      <c r="H407" s="55"/>
      <c r="I407" s="55"/>
      <c r="J407" s="55"/>
      <c r="K407" s="55"/>
      <c r="L407" s="55"/>
      <c r="V407" t="s">
        <v>603</v>
      </c>
      <c r="W407" s="135" t="s">
        <v>604</v>
      </c>
      <c r="AA407" t="str">
        <f>IFERROR(VLOOKUP(A407,'Capacity of production'!A:C,3,0),"")</f>
        <v/>
      </c>
    </row>
    <row r="408" spans="1:30" ht="16.5" thickBot="1">
      <c r="A408" t="str">
        <f>B408</f>
        <v>MO100F</v>
      </c>
      <c r="B408" s="66" t="s">
        <v>162</v>
      </c>
      <c r="C408" s="288" t="str">
        <f>VLOOKUP(A408,'All products'!A:B,2,0)</f>
        <v>TECNOSTOP (25KG)</v>
      </c>
      <c r="D408" s="288"/>
      <c r="E408" s="288"/>
      <c r="F408" s="289"/>
      <c r="G408" s="21">
        <v>1</v>
      </c>
      <c r="H408" s="21" t="str">
        <f>VLOOKUP(B408,'Full Item list'!A:B,2,0)</f>
        <v>MO100F</v>
      </c>
      <c r="I408" s="21">
        <f>VLOOKUP(H408,'Full Item list'!B:J,9,0)</f>
        <v>25</v>
      </c>
      <c r="J408" s="21"/>
      <c r="K408" s="21" t="str">
        <f>VLOOKUP(H408,'Full Item list'!B:O,14,0)</f>
        <v>PCS</v>
      </c>
      <c r="L408" s="21"/>
      <c r="M408">
        <f>O408/P408</f>
        <v>0</v>
      </c>
      <c r="N408" t="e">
        <f>VLOOKUP(B408,#REF!,9,0)</f>
        <v>#REF!</v>
      </c>
      <c r="P408">
        <v>25</v>
      </c>
      <c r="Q408">
        <f>SUM(D410:D411)</f>
        <v>25</v>
      </c>
      <c r="R408">
        <f ca="1">OFFSET(F408,MATCH("Total Cost:",E408:E532,0)-1,0,1,1)/G408</f>
        <v>25.150553363430284</v>
      </c>
      <c r="U408" t="str">
        <f>VLOOKUP(H408,'Full Item list'!B:D,3,0)</f>
        <v>Product</v>
      </c>
      <c r="V408" t="s">
        <v>603</v>
      </c>
      <c r="W408" s="135" t="s">
        <v>604</v>
      </c>
      <c r="X408" t="s">
        <v>631</v>
      </c>
      <c r="AA408">
        <f>IFERROR(VLOOKUP(A408,'Capacity of production'!A:C,3,0),"")</f>
        <v>1000</v>
      </c>
    </row>
    <row r="409" spans="1:30" ht="15" thickBot="1">
      <c r="B409" s="23" t="s">
        <v>319</v>
      </c>
      <c r="C409" s="24" t="s">
        <v>320</v>
      </c>
      <c r="D409" s="25" t="s">
        <v>321</v>
      </c>
      <c r="E409" s="25" t="s">
        <v>322</v>
      </c>
      <c r="F409" s="26" t="s">
        <v>323</v>
      </c>
      <c r="G409" s="27"/>
      <c r="H409" s="27"/>
      <c r="I409" s="27"/>
      <c r="J409" s="27"/>
      <c r="K409" s="27"/>
      <c r="L409" s="27"/>
      <c r="V409" t="s">
        <v>603</v>
      </c>
      <c r="W409" s="135" t="s">
        <v>604</v>
      </c>
      <c r="AA409" t="str">
        <f>IFERROR(VLOOKUP(A409,'Capacity of production'!A:C,3,0),"")</f>
        <v/>
      </c>
    </row>
    <row r="410" spans="1:30" ht="15.75" thickBot="1">
      <c r="B410" s="20" t="s">
        <v>585</v>
      </c>
      <c r="C410" s="55" t="str">
        <f>VLOOKUP(B410,'All products'!A:B,2,0)</f>
        <v>TECNOSTOP (KG)</v>
      </c>
      <c r="D410" s="43">
        <v>25</v>
      </c>
      <c r="E410" s="31">
        <f ca="1">O410*D410</f>
        <v>25.150553363430284</v>
      </c>
      <c r="F410" s="45"/>
      <c r="G410" s="32"/>
      <c r="H410" s="32" t="str">
        <f>VLOOKUP(B410,'Full Item list'!A:B,2,0)</f>
        <v>MO100F-1</v>
      </c>
      <c r="I410" s="32"/>
      <c r="J410" s="32" t="str">
        <f>K410</f>
        <v>KG</v>
      </c>
      <c r="K410" s="32" t="str">
        <f>VLOOKUP(H410,'Full Item list'!B:O,14,0)</f>
        <v>KG</v>
      </c>
      <c r="L410" s="32"/>
      <c r="M410">
        <f ca="1">O410/P410</f>
        <v>4.0240885381488456E-2</v>
      </c>
      <c r="N410" t="e">
        <f>VLOOKUP(B410,#REF!,9,0)</f>
        <v>#REF!</v>
      </c>
      <c r="O410">
        <f ca="1">IFERROR(IF(J410="KG",VLOOKUP(H410,'Cost Price New'!D:E,2,0),VLOOKUP('BOMs setting'!H410,'Cost Price New'!D:I,6,0)),VLOOKUP(H410,A:R,18,0))</f>
        <v>1.0060221345372113</v>
      </c>
      <c r="P410">
        <v>25</v>
      </c>
      <c r="Q410">
        <v>1</v>
      </c>
      <c r="V410" t="s">
        <v>603</v>
      </c>
      <c r="W410" s="135" t="s">
        <v>604</v>
      </c>
      <c r="AA410" t="str">
        <f>IFERROR(VLOOKUP(A410,'Capacity of production'!A:C,3,0),"")</f>
        <v/>
      </c>
    </row>
    <row r="411" spans="1:30" ht="15">
      <c r="B411" s="54"/>
      <c r="C411" s="55"/>
      <c r="D411" s="56"/>
      <c r="E411" s="56" t="s">
        <v>466</v>
      </c>
      <c r="F411" s="56">
        <f ca="1">E410</f>
        <v>25.150553363430284</v>
      </c>
      <c r="G411" s="55"/>
      <c r="H411" s="55"/>
      <c r="I411" s="55"/>
      <c r="J411" s="55"/>
      <c r="K411" s="55"/>
      <c r="L411" s="55"/>
      <c r="V411" t="s">
        <v>603</v>
      </c>
      <c r="W411" s="135" t="s">
        <v>604</v>
      </c>
      <c r="AA411" t="str">
        <f>IFERROR(VLOOKUP(A411,'Capacity of production'!A:C,3,0),"")</f>
        <v/>
      </c>
    </row>
    <row r="412" spans="1:30" ht="15.75" thickBot="1">
      <c r="B412" s="54"/>
      <c r="C412" s="55"/>
      <c r="D412" s="55"/>
      <c r="E412" s="56"/>
      <c r="F412" s="55"/>
      <c r="G412" s="55"/>
      <c r="H412" s="55"/>
      <c r="I412" s="55"/>
      <c r="J412" s="55"/>
      <c r="K412" s="55"/>
      <c r="L412" s="55"/>
      <c r="V412" t="s">
        <v>603</v>
      </c>
      <c r="W412" s="135" t="s">
        <v>604</v>
      </c>
      <c r="AA412" t="str">
        <f>IFERROR(VLOOKUP(A412,'Capacity of production'!A:C,3,0),"")</f>
        <v/>
      </c>
    </row>
    <row r="413" spans="1:30" ht="16.5" thickBot="1">
      <c r="A413" t="str">
        <f>B413</f>
        <v>MO100F-1</v>
      </c>
      <c r="B413" s="66" t="s">
        <v>585</v>
      </c>
      <c r="C413" s="288" t="str">
        <f>VLOOKUP(A413,'All products'!A:B,2,0)</f>
        <v>TECNOSTOP (KG)</v>
      </c>
      <c r="D413" s="288"/>
      <c r="E413" s="288"/>
      <c r="F413" s="289"/>
      <c r="G413" s="21">
        <f>Q413</f>
        <v>997.6</v>
      </c>
      <c r="H413" s="21" t="str">
        <f>VLOOKUP(B413,'Full Item list'!A:B,2,0)</f>
        <v>MO100F-1</v>
      </c>
      <c r="I413" s="21">
        <f>VLOOKUP(H413,'Full Item list'!B:J,9,0)</f>
        <v>1</v>
      </c>
      <c r="J413" s="21"/>
      <c r="K413" s="21" t="str">
        <f>VLOOKUP(H413,'Full Item list'!B:O,14,0)</f>
        <v>KG</v>
      </c>
      <c r="L413" s="21"/>
      <c r="M413">
        <f>O413/P413</f>
        <v>0</v>
      </c>
      <c r="N413" t="e">
        <f>VLOOKUP(B413,#REF!,9,0)</f>
        <v>#REF!</v>
      </c>
      <c r="P413">
        <v>25</v>
      </c>
      <c r="Q413">
        <f>SUM(D415:D422)</f>
        <v>997.6</v>
      </c>
      <c r="R413">
        <f ca="1">OFFSET(F413,MATCH("Total Cost:",E413:E483,0)-1,0,1,1)/G413</f>
        <v>1.0060221345372113</v>
      </c>
      <c r="U413" t="str">
        <f>VLOOKUP(H413,'Full Item list'!B:D,3,0)</f>
        <v>Component</v>
      </c>
      <c r="V413" t="s">
        <v>603</v>
      </c>
      <c r="W413" s="135" t="s">
        <v>604</v>
      </c>
      <c r="X413" t="s">
        <v>633</v>
      </c>
      <c r="AA413" t="str">
        <f>IFERROR(VLOOKUP(A413,'Capacity of production'!A:C,3,0),"")</f>
        <v/>
      </c>
    </row>
    <row r="414" spans="1:30" ht="15" thickBot="1">
      <c r="B414" s="23" t="s">
        <v>319</v>
      </c>
      <c r="C414" s="69" t="s">
        <v>320</v>
      </c>
      <c r="D414" s="70" t="s">
        <v>321</v>
      </c>
      <c r="E414" s="70" t="s">
        <v>322</v>
      </c>
      <c r="F414" s="26" t="s">
        <v>323</v>
      </c>
      <c r="G414" s="27"/>
      <c r="H414" s="27"/>
      <c r="I414" s="27"/>
      <c r="J414" s="27"/>
      <c r="K414" s="27"/>
      <c r="L414" s="27"/>
      <c r="V414" t="s">
        <v>603</v>
      </c>
      <c r="W414" s="135" t="s">
        <v>604</v>
      </c>
      <c r="AA414" t="str">
        <f>IFERROR(VLOOKUP(A414,'Capacity of production'!A:C,3,0),"")</f>
        <v/>
      </c>
    </row>
    <row r="415" spans="1:30" ht="15.75" thickBot="1">
      <c r="B415" s="80" t="s">
        <v>343</v>
      </c>
      <c r="C415" s="72" t="s">
        <v>101</v>
      </c>
      <c r="D415" s="73">
        <v>200</v>
      </c>
      <c r="E415" s="31">
        <f t="shared" ref="E415:E423" si="59">O415*D415</f>
        <v>20</v>
      </c>
      <c r="F415" s="290"/>
      <c r="G415" s="32"/>
      <c r="H415" s="32" t="str">
        <f>VLOOKUP(B415,'Full Item list'!A:B,2,0)</f>
        <v>CE-080</v>
      </c>
      <c r="I415" s="32"/>
      <c r="J415" s="32" t="str">
        <f t="shared" ref="J415:J423" si="60">K415</f>
        <v>KG</v>
      </c>
      <c r="K415" s="32" t="str">
        <f>VLOOKUP(H415,'Full Item list'!B:O,14,0)</f>
        <v>KG</v>
      </c>
      <c r="L415" s="36">
        <v>5</v>
      </c>
      <c r="M415" s="22" t="e">
        <f t="shared" ref="M415:M422" si="61">O415/P415</f>
        <v>#DIV/0!</v>
      </c>
      <c r="N415" s="22" t="e">
        <f>VLOOKUP(B415,#REF!,9,0)</f>
        <v>#REF!</v>
      </c>
      <c r="O415">
        <f>IFERROR(IF(J415="KG",VLOOKUP(H415,'Cost Price New'!D:E,2,0),VLOOKUP('BOMs setting'!H415,'Cost Price New'!D:I,6,0)),VLOOKUP(H415,A:R,18,0))</f>
        <v>0.1</v>
      </c>
      <c r="P415" s="22"/>
      <c r="Q415">
        <v>997.6</v>
      </c>
      <c r="V415" t="s">
        <v>602</v>
      </c>
      <c r="W415" s="135" t="s">
        <v>605</v>
      </c>
      <c r="AA415" t="str">
        <f>IFERROR(VLOOKUP(A415,'Capacity of production'!A:C,3,0),"")</f>
        <v/>
      </c>
    </row>
    <row r="416" spans="1:30" ht="15.75" thickBot="1">
      <c r="B416" s="67" t="s">
        <v>348</v>
      </c>
      <c r="C416" s="72" t="s">
        <v>98</v>
      </c>
      <c r="D416" s="73">
        <v>50</v>
      </c>
      <c r="E416" s="31">
        <f t="shared" si="59"/>
        <v>11.555</v>
      </c>
      <c r="F416" s="290"/>
      <c r="G416" s="32"/>
      <c r="H416" s="32" t="str">
        <f>VLOOKUP(B416,'Full Item list'!A:B,2,0)</f>
        <v>CE-070</v>
      </c>
      <c r="I416" s="32"/>
      <c r="J416" s="32" t="str">
        <f t="shared" si="60"/>
        <v>KG</v>
      </c>
      <c r="K416" s="32" t="str">
        <f>VLOOKUP(H416,'Full Item list'!B:O,14,0)</f>
        <v>KG</v>
      </c>
      <c r="L416" s="36">
        <v>5</v>
      </c>
      <c r="M416" s="22" t="e">
        <f t="shared" si="61"/>
        <v>#DIV/0!</v>
      </c>
      <c r="N416" s="22" t="e">
        <f>VLOOKUP(B416,#REF!,9,0)</f>
        <v>#REF!</v>
      </c>
      <c r="O416">
        <f>IFERROR(IF(J416="KG",VLOOKUP(H416,'Cost Price New'!D:E,2,0),VLOOKUP('BOMs setting'!H416,'Cost Price New'!D:I,6,0)),VLOOKUP(H416,A:R,18,0))</f>
        <v>0.2311</v>
      </c>
      <c r="P416" s="22"/>
      <c r="Q416">
        <v>997.6</v>
      </c>
      <c r="V416" t="s">
        <v>602</v>
      </c>
      <c r="W416" s="135" t="s">
        <v>605</v>
      </c>
      <c r="AA416" t="str">
        <f>IFERROR(VLOOKUP(A416,'Capacity of production'!A:C,3,0),"")</f>
        <v/>
      </c>
    </row>
    <row r="417" spans="1:27" ht="15.75" thickBot="1">
      <c r="B417" s="67" t="s">
        <v>351</v>
      </c>
      <c r="C417" s="72" t="s">
        <v>96</v>
      </c>
      <c r="D417" s="73">
        <v>240</v>
      </c>
      <c r="E417" s="31">
        <f t="shared" si="59"/>
        <v>292.8</v>
      </c>
      <c r="F417" s="290"/>
      <c r="G417" s="32"/>
      <c r="H417" s="32" t="str">
        <f>VLOOKUP(B417,'Full Item list'!A:B,2,0)</f>
        <v>CE-060</v>
      </c>
      <c r="I417" s="32"/>
      <c r="J417" s="32" t="s">
        <v>639</v>
      </c>
      <c r="K417" s="32" t="str">
        <f>VLOOKUP(H417,'Full Item list'!B:O,14,0)</f>
        <v>PCS</v>
      </c>
      <c r="L417" s="36">
        <v>5</v>
      </c>
      <c r="M417">
        <f t="shared" si="61"/>
        <v>6.0999999999999999E-2</v>
      </c>
      <c r="N417" t="e">
        <f>VLOOKUP(B417,#REF!,9,0)</f>
        <v>#REF!</v>
      </c>
      <c r="O417">
        <f>IFERROR(IF(J417="KG",VLOOKUP(H417,'Cost Price New'!D:E,2,0),VLOOKUP('BOMs setting'!H417,'Cost Price New'!D:I,6,0)),VLOOKUP(H417,A:R,18,0))</f>
        <v>1.22</v>
      </c>
      <c r="P417">
        <v>20</v>
      </c>
      <c r="Q417">
        <v>997.6</v>
      </c>
      <c r="V417" t="s">
        <v>603</v>
      </c>
      <c r="W417" s="135" t="s">
        <v>604</v>
      </c>
      <c r="AA417" t="str">
        <f>IFERROR(VLOOKUP(A417,'Capacity of production'!A:C,3,0),"")</f>
        <v/>
      </c>
    </row>
    <row r="418" spans="1:27" ht="15.75" thickBot="1">
      <c r="B418" s="67" t="s">
        <v>352</v>
      </c>
      <c r="C418" s="72" t="s">
        <v>92</v>
      </c>
      <c r="D418" s="73">
        <v>250</v>
      </c>
      <c r="E418" s="31">
        <f t="shared" si="59"/>
        <v>146.5</v>
      </c>
      <c r="F418" s="290"/>
      <c r="G418" s="32"/>
      <c r="H418" s="32" t="str">
        <f>VLOOKUP(B418,'Full Item list'!A:B,2,0)</f>
        <v>CE-050</v>
      </c>
      <c r="I418" s="32"/>
      <c r="J418" s="32" t="s">
        <v>639</v>
      </c>
      <c r="K418" s="32" t="str">
        <f>VLOOKUP(H418,'Full Item list'!B:O,14,0)</f>
        <v>PCS</v>
      </c>
      <c r="L418" s="36">
        <v>5</v>
      </c>
      <c r="M418">
        <f t="shared" si="61"/>
        <v>2.3439999999999999E-2</v>
      </c>
      <c r="N418" t="e">
        <f>VLOOKUP(B418,#REF!,9,0)</f>
        <v>#REF!</v>
      </c>
      <c r="O418">
        <f>IFERROR(IF(J418="KG",VLOOKUP(H418,'Cost Price New'!D:E,2,0),VLOOKUP('BOMs setting'!H418,'Cost Price New'!D:I,6,0)),VLOOKUP(H418,A:R,18,0))</f>
        <v>0.58599999999999997</v>
      </c>
      <c r="P418">
        <v>25</v>
      </c>
      <c r="Q418">
        <v>997.6</v>
      </c>
      <c r="V418" t="s">
        <v>603</v>
      </c>
      <c r="W418" s="135" t="s">
        <v>604</v>
      </c>
      <c r="AA418" t="str">
        <f>IFERROR(VLOOKUP(A418,'Capacity of production'!A:C,3,0),"")</f>
        <v/>
      </c>
    </row>
    <row r="419" spans="1:27" ht="15.75" thickBot="1">
      <c r="B419" s="67" t="s">
        <v>336</v>
      </c>
      <c r="C419" s="74" t="s">
        <v>115</v>
      </c>
      <c r="D419" s="34">
        <v>80</v>
      </c>
      <c r="E419" s="31">
        <f t="shared" si="59"/>
        <v>4.6000000000000005</v>
      </c>
      <c r="F419" s="291"/>
      <c r="G419" s="36"/>
      <c r="H419" s="36" t="str">
        <f>VLOOKUP(B419,'Full Item list'!A:B,2,0)</f>
        <v>FS-540</v>
      </c>
      <c r="I419" s="36"/>
      <c r="J419" s="32" t="str">
        <f t="shared" si="60"/>
        <v>KG</v>
      </c>
      <c r="K419" s="36" t="str">
        <f>VLOOKUP(H419,'Full Item list'!B:O,14,0)</f>
        <v>KG</v>
      </c>
      <c r="L419" s="36">
        <v>5</v>
      </c>
      <c r="M419" s="22" t="e">
        <f t="shared" si="61"/>
        <v>#DIV/0!</v>
      </c>
      <c r="N419" s="22" t="e">
        <f>VLOOKUP(B419,#REF!,9,0)</f>
        <v>#REF!</v>
      </c>
      <c r="O419">
        <f>IFERROR(IF(J419="KG",VLOOKUP(H419,'Cost Price New'!D:E,2,0),VLOOKUP('BOMs setting'!H419,'Cost Price New'!D:I,6,0)),VLOOKUP(H419,A:R,18,0))</f>
        <v>5.7500000000000002E-2</v>
      </c>
      <c r="P419" s="22"/>
      <c r="Q419">
        <v>997.6</v>
      </c>
      <c r="V419" t="s">
        <v>603</v>
      </c>
      <c r="W419" s="135" t="s">
        <v>604</v>
      </c>
      <c r="AA419" t="str">
        <f>IFERROR(VLOOKUP(A419,'Capacity of production'!A:C,3,0),"")</f>
        <v/>
      </c>
    </row>
    <row r="420" spans="1:27" ht="15.75" thickBot="1">
      <c r="B420" s="67" t="s">
        <v>338</v>
      </c>
      <c r="C420" s="74" t="s">
        <v>117</v>
      </c>
      <c r="D420" s="34">
        <v>50</v>
      </c>
      <c r="E420" s="31">
        <f t="shared" si="59"/>
        <v>1.7500000000000002</v>
      </c>
      <c r="F420" s="291"/>
      <c r="G420" s="36"/>
      <c r="H420" s="36" t="str">
        <f>VLOOKUP(B420,'Full Item list'!A:B,2,0)</f>
        <v>FS-550</v>
      </c>
      <c r="I420" s="36"/>
      <c r="J420" s="32" t="str">
        <f t="shared" si="60"/>
        <v>KG</v>
      </c>
      <c r="K420" s="36" t="str">
        <f>VLOOKUP(H420,'Full Item list'!B:O,14,0)</f>
        <v>KG</v>
      </c>
      <c r="L420" s="36">
        <v>5</v>
      </c>
      <c r="M420" s="22" t="e">
        <f t="shared" si="61"/>
        <v>#DIV/0!</v>
      </c>
      <c r="N420" s="22" t="e">
        <f>VLOOKUP(B420,#REF!,9,0)</f>
        <v>#REF!</v>
      </c>
      <c r="O420">
        <f>IFERROR(IF(J420="KG",VLOOKUP(H420,'Cost Price New'!D:E,2,0),VLOOKUP('BOMs setting'!H420,'Cost Price New'!D:I,6,0)),VLOOKUP(H420,A:R,18,0))</f>
        <v>3.5000000000000003E-2</v>
      </c>
      <c r="P420" s="22"/>
      <c r="Q420">
        <v>997.6</v>
      </c>
      <c r="V420" t="s">
        <v>602</v>
      </c>
      <c r="W420" s="135" t="s">
        <v>605</v>
      </c>
      <c r="AA420" t="str">
        <f>IFERROR(VLOOKUP(A420,'Capacity of production'!A:C,3,0),"")</f>
        <v/>
      </c>
    </row>
    <row r="421" spans="1:27" ht="15.75" thickBot="1">
      <c r="B421" s="67" t="s">
        <v>339</v>
      </c>
      <c r="C421" s="74" t="s">
        <v>119</v>
      </c>
      <c r="D421" s="34">
        <v>125</v>
      </c>
      <c r="E421" s="31">
        <f t="shared" si="59"/>
        <v>4.375</v>
      </c>
      <c r="F421" s="291"/>
      <c r="G421" s="36"/>
      <c r="H421" s="36" t="str">
        <f>VLOOKUP(B421,'Full Item list'!A:B,2,0)</f>
        <v>FS-560</v>
      </c>
      <c r="I421" s="36"/>
      <c r="J421" s="32" t="str">
        <f t="shared" si="60"/>
        <v>KG</v>
      </c>
      <c r="K421" s="36" t="str">
        <f>VLOOKUP(H421,'Full Item list'!B:O,14,0)</f>
        <v>KG</v>
      </c>
      <c r="L421" s="36">
        <v>5</v>
      </c>
      <c r="M421" s="22" t="e">
        <f t="shared" si="61"/>
        <v>#DIV/0!</v>
      </c>
      <c r="N421" s="22" t="e">
        <f>VLOOKUP(B421,#REF!,9,0)</f>
        <v>#REF!</v>
      </c>
      <c r="O421">
        <f>IFERROR(IF(J421="KG",VLOOKUP(H421,'Cost Price New'!D:E,2,0),VLOOKUP('BOMs setting'!H421,'Cost Price New'!D:I,6,0)),VLOOKUP(H421,A:R,18,0))</f>
        <v>3.5000000000000003E-2</v>
      </c>
      <c r="P421" s="22"/>
      <c r="Q421">
        <v>997.6</v>
      </c>
      <c r="V421" t="s">
        <v>602</v>
      </c>
      <c r="W421" s="135" t="s">
        <v>605</v>
      </c>
      <c r="AA421" t="str">
        <f>IFERROR(VLOOKUP(A421,'Capacity of production'!A:C,3,0),"")</f>
        <v/>
      </c>
    </row>
    <row r="422" spans="1:27" ht="15.75" thickBot="1">
      <c r="B422" s="75" t="s">
        <v>248</v>
      </c>
      <c r="C422" s="76" t="s">
        <v>249</v>
      </c>
      <c r="D422" s="39">
        <v>2.6</v>
      </c>
      <c r="E422" s="31">
        <f t="shared" ca="1" si="59"/>
        <v>32.14</v>
      </c>
      <c r="F422" s="292"/>
      <c r="G422" s="36"/>
      <c r="H422" s="36" t="str">
        <f>VLOOKUP(B422,'Full Item list'!A:B,2,0)</f>
        <v>SPMO008</v>
      </c>
      <c r="I422" s="36"/>
      <c r="J422" s="32" t="str">
        <f t="shared" si="60"/>
        <v>KG</v>
      </c>
      <c r="K422" s="36" t="str">
        <f>VLOOKUP(H422,'Full Item list'!B:O,14,0)</f>
        <v>KG</v>
      </c>
      <c r="L422" s="36">
        <v>0.1</v>
      </c>
      <c r="M422">
        <f t="shared" ca="1" si="61"/>
        <v>6.1807692307692313E-2</v>
      </c>
      <c r="N422" t="e">
        <f>VLOOKUP(B422,#REF!,9,0)</f>
        <v>#REF!</v>
      </c>
      <c r="O422">
        <f ca="1">IFERROR(IF(J422="KG",VLOOKUP(H422,'Cost Price New'!D:E,2,0),VLOOKUP('BOMs setting'!H422,'Cost Price New'!D:I,6,0)),VLOOKUP(H422,A:R,18,0))</f>
        <v>12.361538461538462</v>
      </c>
      <c r="P422">
        <v>200</v>
      </c>
      <c r="Q422">
        <v>997.6</v>
      </c>
      <c r="V422" t="s">
        <v>603</v>
      </c>
      <c r="W422" s="135" t="s">
        <v>604</v>
      </c>
      <c r="AA422" t="str">
        <f>IFERROR(VLOOKUP(A422,'Capacity of production'!A:C,3,0),"")</f>
        <v/>
      </c>
    </row>
    <row r="423" spans="1:27" ht="15.75" thickBot="1">
      <c r="B423" s="41" t="s">
        <v>310</v>
      </c>
      <c r="C423" s="42" t="s">
        <v>312</v>
      </c>
      <c r="D423" s="284">
        <f>G413/AA408</f>
        <v>0.99760000000000004</v>
      </c>
      <c r="E423" s="31">
        <f t="shared" si="59"/>
        <v>489.887681414322</v>
      </c>
      <c r="F423" s="45" t="s">
        <v>782</v>
      </c>
      <c r="G423" s="32"/>
      <c r="H423" s="32" t="str">
        <f>VLOOKUP(B423,'Full Item list'!A:B,2,0)</f>
        <v>LAB/OH-Mortar</v>
      </c>
      <c r="I423" s="32"/>
      <c r="J423" s="32" t="str">
        <f t="shared" si="60"/>
        <v>H</v>
      </c>
      <c r="K423" s="32" t="str">
        <f>VLOOKUP(H423,'Full Item list'!B:O,14,0)</f>
        <v>H</v>
      </c>
      <c r="L423" s="32"/>
      <c r="O423">
        <f>IFERROR(IF(J423="KG",VLOOKUP(H423,'Cost Price New'!D:E,2,0),VLOOKUP('BOMs setting'!H423,'Cost Price New'!D:I,6,0)),VLOOKUP(H423,A:R,18,0))</f>
        <v>491.06624039126103</v>
      </c>
      <c r="V423" t="s">
        <v>603</v>
      </c>
      <c r="W423" s="135" t="s">
        <v>604</v>
      </c>
      <c r="AA423" t="str">
        <f>IFERROR(VLOOKUP(A423,'Capacity of production'!A:C,3,0),"")</f>
        <v/>
      </c>
    </row>
    <row r="424" spans="1:27" ht="15">
      <c r="B424" s="54"/>
      <c r="C424" s="55"/>
      <c r="D424" s="56"/>
      <c r="E424" s="56" t="s">
        <v>466</v>
      </c>
      <c r="F424" s="56">
        <f ca="1">SUM(E415:E423)</f>
        <v>1003.6076814143221</v>
      </c>
      <c r="G424" s="55"/>
      <c r="H424" s="55"/>
      <c r="I424" s="55"/>
      <c r="J424" s="55"/>
      <c r="K424" s="55"/>
      <c r="L424" s="55"/>
      <c r="V424" t="s">
        <v>603</v>
      </c>
      <c r="W424" s="135" t="s">
        <v>604</v>
      </c>
      <c r="AA424" t="str">
        <f>IFERROR(VLOOKUP(A424,'Capacity of production'!A:C,3,0),"")</f>
        <v/>
      </c>
    </row>
    <row r="425" spans="1:27" ht="15.75" thickBot="1">
      <c r="B425" s="2"/>
      <c r="C425" s="55"/>
      <c r="D425" s="55"/>
      <c r="E425" s="56"/>
      <c r="F425" s="55"/>
      <c r="G425" s="55"/>
      <c r="H425" s="55"/>
      <c r="I425" s="55"/>
      <c r="J425" s="55"/>
      <c r="K425" s="55"/>
      <c r="L425" s="55"/>
      <c r="V425" t="s">
        <v>603</v>
      </c>
      <c r="W425" s="135" t="s">
        <v>604</v>
      </c>
      <c r="AA425" t="str">
        <f>IFERROR(VLOOKUP(A425,'Capacity of production'!A:C,3,0),"")</f>
        <v/>
      </c>
    </row>
    <row r="426" spans="1:27" ht="16.5" thickBot="1">
      <c r="A426" t="str">
        <f>B426</f>
        <v>MO044F</v>
      </c>
      <c r="B426" s="66" t="s">
        <v>586</v>
      </c>
      <c r="C426" s="288" t="str">
        <f>VLOOKUP(A426,'All products'!A:B,2,0)</f>
        <v>TECNOGROUT-N/PR RAPIDO (25KG)</v>
      </c>
      <c r="D426" s="288"/>
      <c r="E426" s="288"/>
      <c r="F426" s="289"/>
      <c r="G426" s="21">
        <v>1</v>
      </c>
      <c r="H426" s="21" t="str">
        <f>VLOOKUP(B426,'Full Item list'!A:B,2,0)</f>
        <v>MO044F</v>
      </c>
      <c r="I426" s="21">
        <f>VLOOKUP(H426,'Full Item list'!B:J,9,0)</f>
        <v>25</v>
      </c>
      <c r="J426" s="21"/>
      <c r="K426" s="21" t="str">
        <f>VLOOKUP(H426,'Full Item list'!B:O,14,0)</f>
        <v>PCS</v>
      </c>
      <c r="L426" s="21"/>
      <c r="M426">
        <f>O426/P426</f>
        <v>0</v>
      </c>
      <c r="N426" t="e">
        <f>VLOOKUP(B426,#REF!,9,0)</f>
        <v>#REF!</v>
      </c>
      <c r="P426">
        <v>25</v>
      </c>
      <c r="Q426">
        <f>SUM(D428:D429)</f>
        <v>25</v>
      </c>
      <c r="R426">
        <f ca="1">OFFSET(F426,MATCH("Total Cost:",E426:E550,0)-1,0,1,1)/G426</f>
        <v>7.1345035757653736</v>
      </c>
      <c r="U426" t="str">
        <f>VLOOKUP(H426,'Full Item list'!B:D,3,0)</f>
        <v>Product</v>
      </c>
      <c r="V426" t="s">
        <v>603</v>
      </c>
      <c r="W426" s="135" t="s">
        <v>604</v>
      </c>
      <c r="X426" t="s">
        <v>633</v>
      </c>
      <c r="AA426">
        <f>IFERROR(VLOOKUP(A426,'Capacity of production'!A:C,3,0),"")</f>
        <v>3000</v>
      </c>
    </row>
    <row r="427" spans="1:27" ht="15" thickBot="1">
      <c r="B427" s="23" t="s">
        <v>319</v>
      </c>
      <c r="C427" s="24" t="s">
        <v>320</v>
      </c>
      <c r="D427" s="25" t="s">
        <v>321</v>
      </c>
      <c r="E427" s="25" t="s">
        <v>322</v>
      </c>
      <c r="F427" s="26" t="s">
        <v>323</v>
      </c>
      <c r="G427" s="27"/>
      <c r="H427" s="27"/>
      <c r="I427" s="27"/>
      <c r="J427" s="27"/>
      <c r="K427" s="27"/>
      <c r="L427" s="27"/>
      <c r="V427" t="s">
        <v>603</v>
      </c>
      <c r="W427" s="135" t="s">
        <v>604</v>
      </c>
      <c r="AA427" t="str">
        <f>IFERROR(VLOOKUP(A427,'Capacity of production'!A:C,3,0),"")</f>
        <v/>
      </c>
    </row>
    <row r="428" spans="1:27" ht="15.75" thickBot="1">
      <c r="B428" s="20" t="s">
        <v>587</v>
      </c>
      <c r="C428" s="55" t="str">
        <f>VLOOKUP(B428,'All products'!A:B,2,0)</f>
        <v>TECNOGROUT-N/PR RAPIDO (KG)</v>
      </c>
      <c r="D428" s="43">
        <v>25</v>
      </c>
      <c r="E428" s="31">
        <f ca="1">O428*D428</f>
        <v>7.1345035757653736</v>
      </c>
      <c r="F428" s="45"/>
      <c r="G428" s="32"/>
      <c r="H428" s="32" t="str">
        <f>VLOOKUP(B428,'Full Item list'!A:B,2,0)</f>
        <v>MO044F-1</v>
      </c>
      <c r="I428" s="32"/>
      <c r="J428" s="32" t="str">
        <f>K428</f>
        <v>KG</v>
      </c>
      <c r="K428" s="32" t="str">
        <f>VLOOKUP(H428,'Full Item list'!B:O,14,0)</f>
        <v>KG</v>
      </c>
      <c r="L428" s="32"/>
      <c r="M428">
        <f ca="1">O428/P428</f>
        <v>1.1415205721224597E-2</v>
      </c>
      <c r="N428" t="e">
        <f>VLOOKUP(B428,#REF!,9,0)</f>
        <v>#REF!</v>
      </c>
      <c r="O428">
        <f ca="1">IFERROR(IF(J428="KG",VLOOKUP(H428,'Cost Price New'!D:E,2,0),VLOOKUP('BOMs setting'!H428,'Cost Price New'!D:I,6,0)),VLOOKUP(H428,A:R,18,0))</f>
        <v>0.28538014303061493</v>
      </c>
      <c r="P428">
        <v>25</v>
      </c>
      <c r="Q428">
        <v>1</v>
      </c>
      <c r="V428" t="s">
        <v>603</v>
      </c>
      <c r="W428" s="135" t="s">
        <v>604</v>
      </c>
      <c r="AA428" t="str">
        <f>IFERROR(VLOOKUP(A428,'Capacity of production'!A:C,3,0),"")</f>
        <v/>
      </c>
    </row>
    <row r="429" spans="1:27" ht="15">
      <c r="B429" s="54"/>
      <c r="C429" s="55"/>
      <c r="D429" s="56"/>
      <c r="E429" s="56" t="s">
        <v>466</v>
      </c>
      <c r="F429" s="56">
        <f ca="1">E428</f>
        <v>7.1345035757653736</v>
      </c>
      <c r="G429" s="55"/>
      <c r="H429" s="55"/>
      <c r="I429" s="55"/>
      <c r="J429" s="55"/>
      <c r="K429" s="55"/>
      <c r="L429" s="55"/>
      <c r="V429" t="s">
        <v>603</v>
      </c>
      <c r="W429" s="135" t="s">
        <v>604</v>
      </c>
      <c r="AA429" t="str">
        <f>IFERROR(VLOOKUP(A429,'Capacity of production'!A:C,3,0),"")</f>
        <v/>
      </c>
    </row>
    <row r="430" spans="1:27" ht="15.75" thickBot="1">
      <c r="B430" s="2"/>
      <c r="C430" s="55"/>
      <c r="D430" s="55"/>
      <c r="E430" s="56"/>
      <c r="F430" s="55"/>
      <c r="G430" s="55"/>
      <c r="H430" s="55"/>
      <c r="I430" s="55"/>
      <c r="J430" s="55"/>
      <c r="K430" s="55"/>
      <c r="L430" s="55"/>
      <c r="V430" t="s">
        <v>603</v>
      </c>
      <c r="W430" s="135" t="s">
        <v>604</v>
      </c>
      <c r="AA430" t="str">
        <f>IFERROR(VLOOKUP(A430,'Capacity of production'!A:C,3,0),"")</f>
        <v/>
      </c>
    </row>
    <row r="431" spans="1:27" ht="16.5" customHeight="1" thickBot="1">
      <c r="A431" t="str">
        <f>B431</f>
        <v>MO044F-1</v>
      </c>
      <c r="B431" s="66" t="s">
        <v>587</v>
      </c>
      <c r="C431" s="288" t="str">
        <f>VLOOKUP(A431,'All products'!A:B,2,0)</f>
        <v>TECNOGROUT-N/PR RAPIDO (KG)</v>
      </c>
      <c r="D431" s="288"/>
      <c r="E431" s="288"/>
      <c r="F431" s="289"/>
      <c r="G431" s="21">
        <f>Q431</f>
        <v>1044.5999999999999</v>
      </c>
      <c r="H431" s="21" t="str">
        <f>VLOOKUP(B431,'Full Item list'!A:B,2,0)</f>
        <v>MO044F-1</v>
      </c>
      <c r="I431" s="21">
        <f>VLOOKUP(H431,'Full Item list'!B:J,9,0)</f>
        <v>1</v>
      </c>
      <c r="J431" s="21"/>
      <c r="K431" s="21" t="str">
        <f>VLOOKUP(H431,'Full Item list'!B:O,14,0)</f>
        <v>KG</v>
      </c>
      <c r="L431" s="21"/>
      <c r="M431">
        <f>O431/P431</f>
        <v>0</v>
      </c>
      <c r="N431" t="e">
        <f>VLOOKUP(B431,#REF!,9,0)</f>
        <v>#REF!</v>
      </c>
      <c r="P431">
        <v>25</v>
      </c>
      <c r="Q431">
        <f>SUM(D433:D436)</f>
        <v>1044.5999999999999</v>
      </c>
      <c r="R431">
        <f ca="1">OFFSET(F431,MATCH("Total Cost:",E431:E501,0)-1,0,1,1)/G431</f>
        <v>0.28538014303061493</v>
      </c>
      <c r="U431" t="str">
        <f>VLOOKUP(H431,'Full Item list'!B:D,3,0)</f>
        <v>Component</v>
      </c>
      <c r="V431" t="s">
        <v>603</v>
      </c>
      <c r="W431" s="135" t="s">
        <v>604</v>
      </c>
      <c r="X431" t="s">
        <v>633</v>
      </c>
      <c r="AA431" t="str">
        <f>IFERROR(VLOOKUP(A431,'Capacity of production'!A:C,3,0),"")</f>
        <v/>
      </c>
    </row>
    <row r="432" spans="1:27" ht="15" thickBot="1">
      <c r="B432" s="23" t="s">
        <v>319</v>
      </c>
      <c r="C432" s="69" t="s">
        <v>320</v>
      </c>
      <c r="D432" s="70" t="s">
        <v>321</v>
      </c>
      <c r="E432" s="70" t="s">
        <v>322</v>
      </c>
      <c r="F432" s="26" t="s">
        <v>323</v>
      </c>
      <c r="G432" s="27"/>
      <c r="H432" s="27"/>
      <c r="I432" s="27"/>
      <c r="J432" s="27"/>
      <c r="K432" s="27"/>
      <c r="L432" s="27"/>
      <c r="V432" t="s">
        <v>603</v>
      </c>
      <c r="W432" s="135" t="s">
        <v>604</v>
      </c>
      <c r="AA432" t="str">
        <f>IFERROR(VLOOKUP(A432,'Capacity of production'!A:C,3,0),"")</f>
        <v/>
      </c>
    </row>
    <row r="433" spans="1:27" ht="15.75" thickBot="1">
      <c r="B433" s="80" t="s">
        <v>343</v>
      </c>
      <c r="C433" s="77" t="s">
        <v>101</v>
      </c>
      <c r="D433" s="73">
        <v>350</v>
      </c>
      <c r="E433" s="31">
        <f>O433*D433</f>
        <v>35</v>
      </c>
      <c r="F433" s="290"/>
      <c r="G433" s="32"/>
      <c r="H433" s="32" t="str">
        <f>VLOOKUP(B433,'Full Item list'!A:B,2,0)</f>
        <v>CE-080</v>
      </c>
      <c r="I433" s="32"/>
      <c r="J433" s="32" t="str">
        <f t="shared" ref="J433:J437" si="62">K433</f>
        <v>KG</v>
      </c>
      <c r="K433" s="32" t="str">
        <f>VLOOKUP(H433,'Full Item list'!B:O,14,0)</f>
        <v>KG</v>
      </c>
      <c r="L433" s="36">
        <v>5</v>
      </c>
      <c r="M433" s="22" t="e">
        <f>O433/P433</f>
        <v>#DIV/0!</v>
      </c>
      <c r="N433" s="22" t="e">
        <f>VLOOKUP(B433,#REF!,9,0)</f>
        <v>#REF!</v>
      </c>
      <c r="O433">
        <f>IFERROR(IF(J433="KG",VLOOKUP(H433,'Cost Price New'!D:E,2,0),VLOOKUP('BOMs setting'!H433,'Cost Price New'!D:I,6,0)),VLOOKUP(H433,A:R,18,0))</f>
        <v>0.1</v>
      </c>
      <c r="P433" s="22"/>
      <c r="Q433">
        <v>1044.5999999999999</v>
      </c>
      <c r="V433" t="s">
        <v>602</v>
      </c>
      <c r="W433" s="135" t="s">
        <v>605</v>
      </c>
      <c r="AA433" t="str">
        <f>IFERROR(VLOOKUP(A433,'Capacity of production'!A:C,3,0),"")</f>
        <v/>
      </c>
    </row>
    <row r="434" spans="1:27" ht="15.75" thickBot="1">
      <c r="B434" s="67" t="s">
        <v>338</v>
      </c>
      <c r="C434" s="78" t="s">
        <v>353</v>
      </c>
      <c r="D434" s="73">
        <v>300</v>
      </c>
      <c r="E434" s="31">
        <f>O434*D434</f>
        <v>10.500000000000002</v>
      </c>
      <c r="F434" s="290"/>
      <c r="G434" s="32"/>
      <c r="H434" s="32" t="str">
        <f>VLOOKUP(B434,'Full Item list'!A:B,2,0)</f>
        <v>FS-550</v>
      </c>
      <c r="I434" s="32"/>
      <c r="J434" s="32" t="str">
        <f t="shared" si="62"/>
        <v>KG</v>
      </c>
      <c r="K434" s="32" t="str">
        <f>VLOOKUP(H434,'Full Item list'!B:O,14,0)</f>
        <v>KG</v>
      </c>
      <c r="L434" s="36">
        <v>5</v>
      </c>
      <c r="M434" s="22" t="e">
        <f>O434/P434</f>
        <v>#DIV/0!</v>
      </c>
      <c r="N434" s="22" t="e">
        <f>VLOOKUP(B434,#REF!,9,0)</f>
        <v>#REF!</v>
      </c>
      <c r="O434">
        <f>IFERROR(IF(J434="KG",VLOOKUP(H434,'Cost Price New'!D:E,2,0),VLOOKUP('BOMs setting'!H434,'Cost Price New'!D:I,6,0)),VLOOKUP(H434,A:R,18,0))</f>
        <v>3.5000000000000003E-2</v>
      </c>
      <c r="P434" s="22"/>
      <c r="Q434">
        <v>1044.5999999999999</v>
      </c>
      <c r="V434" t="s">
        <v>602</v>
      </c>
      <c r="W434" s="135" t="s">
        <v>605</v>
      </c>
      <c r="AA434" t="str">
        <f>IFERROR(VLOOKUP(A434,'Capacity of production'!A:C,3,0),"")</f>
        <v/>
      </c>
    </row>
    <row r="435" spans="1:27" ht="15.75" thickBot="1">
      <c r="B435" s="67" t="s">
        <v>339</v>
      </c>
      <c r="C435" s="78" t="s">
        <v>354</v>
      </c>
      <c r="D435" s="73">
        <v>350</v>
      </c>
      <c r="E435" s="31">
        <f>O435*D435</f>
        <v>12.250000000000002</v>
      </c>
      <c r="F435" s="290"/>
      <c r="G435" s="32"/>
      <c r="H435" s="32" t="str">
        <f>VLOOKUP(B435,'Full Item list'!A:B,2,0)</f>
        <v>FS-560</v>
      </c>
      <c r="I435" s="32"/>
      <c r="J435" s="32" t="str">
        <f t="shared" si="62"/>
        <v>KG</v>
      </c>
      <c r="K435" s="32" t="str">
        <f>VLOOKUP(H435,'Full Item list'!B:O,14,0)</f>
        <v>KG</v>
      </c>
      <c r="L435" s="36">
        <v>5</v>
      </c>
      <c r="M435" s="22" t="e">
        <f>O435/P435</f>
        <v>#DIV/0!</v>
      </c>
      <c r="N435" s="22" t="e">
        <f>VLOOKUP(B435,#REF!,9,0)</f>
        <v>#REF!</v>
      </c>
      <c r="O435">
        <f>IFERROR(IF(J435="KG",VLOOKUP(H435,'Cost Price New'!D:E,2,0),VLOOKUP('BOMs setting'!H435,'Cost Price New'!D:I,6,0)),VLOOKUP(H435,A:R,18,0))</f>
        <v>3.5000000000000003E-2</v>
      </c>
      <c r="P435" s="22"/>
      <c r="Q435">
        <v>1044.5999999999999</v>
      </c>
      <c r="V435" t="s">
        <v>602</v>
      </c>
      <c r="W435" s="135" t="s">
        <v>605</v>
      </c>
      <c r="AA435" t="str">
        <f>IFERROR(VLOOKUP(A435,'Capacity of production'!A:C,3,0),"")</f>
        <v/>
      </c>
    </row>
    <row r="436" spans="1:27" ht="15.75" thickBot="1">
      <c r="B436" s="75" t="s">
        <v>246</v>
      </c>
      <c r="C436" s="79" t="s">
        <v>247</v>
      </c>
      <c r="D436" s="39">
        <v>44.6</v>
      </c>
      <c r="E436" s="31">
        <f ca="1">O436*D436</f>
        <v>69.368832505543239</v>
      </c>
      <c r="F436" s="292"/>
      <c r="G436" s="36"/>
      <c r="H436" s="36" t="str">
        <f>VLOOKUP(B436,'Full Item list'!A:B,2,0)</f>
        <v>SPMO006</v>
      </c>
      <c r="I436" s="36"/>
      <c r="J436" s="32" t="str">
        <f t="shared" si="62"/>
        <v>KG</v>
      </c>
      <c r="K436" s="36" t="str">
        <f>VLOOKUP(H436,'Full Item list'!B:O,14,0)</f>
        <v>KG</v>
      </c>
      <c r="L436" s="36">
        <v>0.1</v>
      </c>
      <c r="M436">
        <f ca="1">O436/P436</f>
        <v>7.7767749445676283E-3</v>
      </c>
      <c r="N436" t="e">
        <f>VLOOKUP(B436,#REF!,9,0)</f>
        <v>#REF!</v>
      </c>
      <c r="O436">
        <f ca="1">IFERROR(IF(J436="KG",VLOOKUP(H436,'Cost Price New'!D:E,2,0),VLOOKUP('BOMs setting'!H436,'Cost Price New'!D:I,6,0)),VLOOKUP(H436,A:R,18,0))</f>
        <v>1.5553549889135256</v>
      </c>
      <c r="P436">
        <v>200</v>
      </c>
      <c r="Q436">
        <v>1044.5999999999999</v>
      </c>
      <c r="V436" t="s">
        <v>603</v>
      </c>
      <c r="W436" s="135" t="s">
        <v>604</v>
      </c>
      <c r="AA436" t="str">
        <f>IFERROR(VLOOKUP(A436,'Capacity of production'!A:C,3,0),"")</f>
        <v/>
      </c>
    </row>
    <row r="437" spans="1:27" ht="15.75" thickBot="1">
      <c r="B437" s="41" t="s">
        <v>310</v>
      </c>
      <c r="C437" s="42" t="s">
        <v>312</v>
      </c>
      <c r="D437" s="284">
        <f>G431/AA426</f>
        <v>0.34819999999999995</v>
      </c>
      <c r="E437" s="31">
        <f>O437*D437</f>
        <v>170.98926490423707</v>
      </c>
      <c r="F437" s="45" t="s">
        <v>782</v>
      </c>
      <c r="G437" s="32"/>
      <c r="H437" s="32" t="str">
        <f>VLOOKUP(B437,'Full Item list'!A:B,2,0)</f>
        <v>LAB/OH-Mortar</v>
      </c>
      <c r="I437" s="32"/>
      <c r="J437" s="32" t="str">
        <f t="shared" si="62"/>
        <v>H</v>
      </c>
      <c r="K437" s="32" t="str">
        <f>VLOOKUP(H437,'Full Item list'!B:O,14,0)</f>
        <v>H</v>
      </c>
      <c r="L437" s="32"/>
      <c r="O437">
        <f>IFERROR(IF(J437="KG",VLOOKUP(H437,'Cost Price New'!D:E,2,0),VLOOKUP('BOMs setting'!H437,'Cost Price New'!D:I,6,0)),VLOOKUP(H437,A:R,18,0))</f>
        <v>491.06624039126103</v>
      </c>
      <c r="V437" t="s">
        <v>603</v>
      </c>
      <c r="W437" s="135" t="s">
        <v>604</v>
      </c>
      <c r="AA437" t="str">
        <f>IFERROR(VLOOKUP(A437,'Capacity of production'!A:C,3,0),"")</f>
        <v/>
      </c>
    </row>
    <row r="438" spans="1:27" ht="15">
      <c r="B438" s="54"/>
      <c r="C438" s="55"/>
      <c r="D438" s="56"/>
      <c r="E438" s="56" t="s">
        <v>466</v>
      </c>
      <c r="F438" s="56">
        <f ca="1">SUM(E433:E437)</f>
        <v>298.10809740978033</v>
      </c>
      <c r="G438" s="55"/>
      <c r="H438" s="55"/>
      <c r="I438" s="55"/>
      <c r="J438" s="55"/>
      <c r="K438" s="55"/>
      <c r="L438" s="55"/>
      <c r="V438" t="s">
        <v>603</v>
      </c>
      <c r="W438" s="135" t="s">
        <v>604</v>
      </c>
      <c r="AA438" t="str">
        <f>IFERROR(VLOOKUP(A438,'Capacity of production'!A:C,3,0),"")</f>
        <v/>
      </c>
    </row>
    <row r="439" spans="1:27" ht="15.75" thickBot="1">
      <c r="B439" s="84"/>
      <c r="C439" s="55"/>
      <c r="D439" s="55"/>
      <c r="E439" s="56"/>
      <c r="F439" s="55"/>
      <c r="G439" s="55"/>
      <c r="H439" s="55"/>
      <c r="I439" s="55"/>
      <c r="J439" s="55"/>
      <c r="K439" s="55"/>
      <c r="L439" s="55"/>
      <c r="V439" t="s">
        <v>603</v>
      </c>
      <c r="W439" s="135" t="s">
        <v>604</v>
      </c>
      <c r="AA439" t="str">
        <f>IFERROR(VLOOKUP(A439,'Capacity of production'!A:C,3,0),"")</f>
        <v/>
      </c>
    </row>
    <row r="440" spans="1:27" ht="16.5" thickBot="1">
      <c r="A440" t="str">
        <f>B440</f>
        <v>MO042F</v>
      </c>
      <c r="B440" s="66" t="s">
        <v>588</v>
      </c>
      <c r="C440" s="288" t="str">
        <f>VLOOKUP(A440,'All products'!A:B,2,0)</f>
        <v>TECNOGROUT-N RAPIDO (25KG)</v>
      </c>
      <c r="D440" s="288"/>
      <c r="E440" s="288"/>
      <c r="F440" s="289"/>
      <c r="G440" s="21">
        <v>1</v>
      </c>
      <c r="H440" s="21" t="str">
        <f>VLOOKUP(B440,'Full Item list'!A:B,2,0)</f>
        <v>MO042F</v>
      </c>
      <c r="I440" s="21">
        <f>VLOOKUP(H440,'Full Item list'!B:J,9,0)</f>
        <v>25</v>
      </c>
      <c r="J440" s="21"/>
      <c r="K440" s="21" t="str">
        <f>VLOOKUP(H440,'Full Item list'!B:O,14,0)</f>
        <v>PCS</v>
      </c>
      <c r="L440" s="21"/>
      <c r="M440">
        <f>O440/P440</f>
        <v>0</v>
      </c>
      <c r="N440" t="e">
        <f>VLOOKUP(B440,#REF!,9,0)</f>
        <v>#REF!</v>
      </c>
      <c r="P440">
        <v>25</v>
      </c>
      <c r="Q440">
        <f>SUM(D442:D443)</f>
        <v>25</v>
      </c>
      <c r="R440">
        <f ca="1">OFFSET(F440,MATCH("Total Cost:",E440:E564,0)-1,0,1,1)/G440</f>
        <v>7.1254928333545058</v>
      </c>
      <c r="U440" t="str">
        <f>VLOOKUP(H440,'Full Item list'!B:D,3,0)</f>
        <v>Product</v>
      </c>
      <c r="V440" t="s">
        <v>603</v>
      </c>
      <c r="W440" s="135" t="s">
        <v>604</v>
      </c>
      <c r="X440" t="s">
        <v>633</v>
      </c>
      <c r="AA440">
        <f>IFERROR(VLOOKUP(A440,'Capacity of production'!A:C,3,0),"")</f>
        <v>3000</v>
      </c>
    </row>
    <row r="441" spans="1:27" ht="15" thickBot="1">
      <c r="B441" s="23" t="s">
        <v>319</v>
      </c>
      <c r="C441" s="24" t="s">
        <v>320</v>
      </c>
      <c r="D441" s="25" t="s">
        <v>321</v>
      </c>
      <c r="E441" s="25" t="s">
        <v>322</v>
      </c>
      <c r="F441" s="26" t="s">
        <v>323</v>
      </c>
      <c r="G441" s="27"/>
      <c r="H441" s="27"/>
      <c r="I441" s="27"/>
      <c r="J441" s="27"/>
      <c r="K441" s="27"/>
      <c r="L441" s="27"/>
      <c r="V441" t="s">
        <v>603</v>
      </c>
      <c r="W441" s="135" t="s">
        <v>604</v>
      </c>
      <c r="AA441" t="str">
        <f>IFERROR(VLOOKUP(A441,'Capacity of production'!A:C,3,0),"")</f>
        <v/>
      </c>
    </row>
    <row r="442" spans="1:27" ht="15.75" thickBot="1">
      <c r="B442" s="20" t="s">
        <v>589</v>
      </c>
      <c r="C442" s="55" t="str">
        <f>VLOOKUP(B442,'All products'!A:B,2,0)</f>
        <v>TECNOGROUT-N RAPIDO (KG)</v>
      </c>
      <c r="D442" s="43">
        <v>25</v>
      </c>
      <c r="E442" s="31">
        <f ca="1">O442*D442</f>
        <v>7.1254928333545058</v>
      </c>
      <c r="F442" s="45"/>
      <c r="G442" s="32"/>
      <c r="H442" s="32" t="str">
        <f>VLOOKUP(B442,'Full Item list'!A:B,2,0)</f>
        <v>MO042F-1</v>
      </c>
      <c r="I442" s="32"/>
      <c r="J442" s="32" t="str">
        <f>K442</f>
        <v>KG</v>
      </c>
      <c r="K442" s="32" t="str">
        <f>VLOOKUP(H442,'Full Item list'!B:O,14,0)</f>
        <v>KG</v>
      </c>
      <c r="L442" s="32"/>
      <c r="M442">
        <f ca="1">O442/P442</f>
        <v>1.140078853336721E-2</v>
      </c>
      <c r="N442" t="e">
        <f>VLOOKUP(B442,#REF!,9,0)</f>
        <v>#REF!</v>
      </c>
      <c r="O442">
        <f ca="1">IFERROR(IF(J442="KG",VLOOKUP(H442,'Cost Price New'!D:E,2,0),VLOOKUP('BOMs setting'!H442,'Cost Price New'!D:I,6,0)),VLOOKUP(H442,A:R,18,0))</f>
        <v>0.28501971333418025</v>
      </c>
      <c r="P442">
        <v>25</v>
      </c>
      <c r="Q442">
        <v>1</v>
      </c>
      <c r="V442" t="s">
        <v>603</v>
      </c>
      <c r="W442" s="135" t="s">
        <v>604</v>
      </c>
      <c r="AA442" t="str">
        <f>IFERROR(VLOOKUP(A442,'Capacity of production'!A:C,3,0),"")</f>
        <v/>
      </c>
    </row>
    <row r="443" spans="1:27" ht="15">
      <c r="B443" s="54"/>
      <c r="C443" s="55"/>
      <c r="D443" s="56"/>
      <c r="E443" s="56" t="s">
        <v>466</v>
      </c>
      <c r="F443" s="56">
        <f ca="1">E442</f>
        <v>7.1254928333545058</v>
      </c>
      <c r="G443" s="55"/>
      <c r="H443" s="55"/>
      <c r="I443" s="55"/>
      <c r="J443" s="55"/>
      <c r="K443" s="55"/>
      <c r="L443" s="55"/>
      <c r="V443" t="s">
        <v>603</v>
      </c>
      <c r="W443" s="135" t="s">
        <v>604</v>
      </c>
      <c r="AA443" t="str">
        <f>IFERROR(VLOOKUP(A443,'Capacity of production'!A:C,3,0),"")</f>
        <v/>
      </c>
    </row>
    <row r="444" spans="1:27" ht="15.75" thickBot="1">
      <c r="B444" s="84"/>
      <c r="C444" s="55"/>
      <c r="D444" s="55"/>
      <c r="E444" s="56"/>
      <c r="F444" s="55"/>
      <c r="G444" s="55"/>
      <c r="H444" s="55"/>
      <c r="I444" s="55"/>
      <c r="J444" s="55"/>
      <c r="K444" s="55"/>
      <c r="L444" s="55"/>
      <c r="V444" t="s">
        <v>603</v>
      </c>
      <c r="W444" s="135" t="s">
        <v>604</v>
      </c>
      <c r="AA444" t="str">
        <f>IFERROR(VLOOKUP(A444,'Capacity of production'!A:C,3,0),"")</f>
        <v/>
      </c>
    </row>
    <row r="445" spans="1:27" ht="16.5" customHeight="1" thickBot="1">
      <c r="A445" t="str">
        <f>B445</f>
        <v>MO042F-1</v>
      </c>
      <c r="B445" s="66" t="s">
        <v>589</v>
      </c>
      <c r="C445" s="288" t="str">
        <f>VLOOKUP(A445,'All products'!A:B,2,0)</f>
        <v>TECNOGROUT-N RAPIDO (KG)</v>
      </c>
      <c r="D445" s="288"/>
      <c r="E445" s="288"/>
      <c r="F445" s="289"/>
      <c r="G445" s="21">
        <f>Q445</f>
        <v>1054.8</v>
      </c>
      <c r="H445" s="21" t="str">
        <f>VLOOKUP(B445,'Full Item list'!A:B,2,0)</f>
        <v>MO042F-1</v>
      </c>
      <c r="I445" s="21">
        <f>VLOOKUP(H445,'Full Item list'!B:J,9,0)</f>
        <v>1</v>
      </c>
      <c r="J445" s="21"/>
      <c r="K445" s="21" t="str">
        <f>VLOOKUP(H445,'Full Item list'!B:O,14,0)</f>
        <v>KG</v>
      </c>
      <c r="L445" s="21"/>
      <c r="M445">
        <f>O445/P445</f>
        <v>0</v>
      </c>
      <c r="N445" t="e">
        <f>VLOOKUP(B445,#REF!,9,0)</f>
        <v>#REF!</v>
      </c>
      <c r="P445">
        <v>25</v>
      </c>
      <c r="Q445">
        <f>SUM(D447:D452)</f>
        <v>1054.8</v>
      </c>
      <c r="R445">
        <f ca="1">OFFSET(F445,MATCH("Total Cost:",E445:E515,0)-1,0,1,1)/G445</f>
        <v>0.28501971333418025</v>
      </c>
      <c r="U445" t="str">
        <f>VLOOKUP(H445,'Full Item list'!B:D,3,0)</f>
        <v>Component</v>
      </c>
      <c r="V445" t="s">
        <v>603</v>
      </c>
      <c r="W445" s="135" t="s">
        <v>604</v>
      </c>
      <c r="X445" t="s">
        <v>633</v>
      </c>
      <c r="AA445" t="str">
        <f>IFERROR(VLOOKUP(A445,'Capacity of production'!A:C,3,0),"")</f>
        <v/>
      </c>
    </row>
    <row r="446" spans="1:27" ht="15" thickBot="1">
      <c r="B446" s="23" t="s">
        <v>319</v>
      </c>
      <c r="C446" s="69" t="s">
        <v>320</v>
      </c>
      <c r="D446" s="70" t="s">
        <v>321</v>
      </c>
      <c r="E446" s="70" t="s">
        <v>322</v>
      </c>
      <c r="F446" s="26" t="s">
        <v>323</v>
      </c>
      <c r="G446" s="27"/>
      <c r="H446" s="27"/>
      <c r="I446" s="27"/>
      <c r="J446" s="27"/>
      <c r="K446" s="27"/>
      <c r="L446" s="27"/>
      <c r="V446" t="s">
        <v>603</v>
      </c>
      <c r="W446" s="135" t="s">
        <v>604</v>
      </c>
      <c r="AA446" t="str">
        <f>IFERROR(VLOOKUP(A446,'Capacity of production'!A:C,3,0),"")</f>
        <v/>
      </c>
    </row>
    <row r="447" spans="1:27" ht="15.75" thickBot="1">
      <c r="B447" s="80" t="s">
        <v>343</v>
      </c>
      <c r="C447" s="77" t="s">
        <v>101</v>
      </c>
      <c r="D447" s="73">
        <v>360</v>
      </c>
      <c r="E447" s="31">
        <f t="shared" ref="E447:E453" si="63">O447*D447</f>
        <v>36</v>
      </c>
      <c r="F447" s="290"/>
      <c r="G447" s="32"/>
      <c r="H447" s="32" t="str">
        <f>VLOOKUP(B447,'Full Item list'!A:B,2,0)</f>
        <v>CE-080</v>
      </c>
      <c r="I447" s="32"/>
      <c r="J447" s="32" t="str">
        <f t="shared" ref="J447:J453" si="64">K447</f>
        <v>KG</v>
      </c>
      <c r="K447" s="32" t="str">
        <f>VLOOKUP(H447,'Full Item list'!B:O,14,0)</f>
        <v>KG</v>
      </c>
      <c r="L447" s="36">
        <v>5</v>
      </c>
      <c r="M447" s="22" t="e">
        <f t="shared" ref="M447:M452" si="65">O447/P447</f>
        <v>#DIV/0!</v>
      </c>
      <c r="N447" s="22" t="e">
        <f>VLOOKUP(B447,#REF!,9,0)</f>
        <v>#REF!</v>
      </c>
      <c r="O447">
        <f>IFERROR(IF(J447="KG",VLOOKUP(H447,'Cost Price New'!D:E,2,0),VLOOKUP('BOMs setting'!H447,'Cost Price New'!D:I,6,0)),VLOOKUP(H447,A:R,18,0))</f>
        <v>0.1</v>
      </c>
      <c r="P447" s="22"/>
      <c r="Q447">
        <v>1054.8</v>
      </c>
      <c r="V447" t="s">
        <v>602</v>
      </c>
      <c r="W447" s="135" t="s">
        <v>605</v>
      </c>
      <c r="AA447" t="str">
        <f>IFERROR(VLOOKUP(A447,'Capacity of production'!A:C,3,0),"")</f>
        <v/>
      </c>
    </row>
    <row r="448" spans="1:27" ht="15.75" thickBot="1">
      <c r="B448" s="67" t="s">
        <v>338</v>
      </c>
      <c r="C448" s="78" t="s">
        <v>353</v>
      </c>
      <c r="D448" s="73">
        <v>150</v>
      </c>
      <c r="E448" s="31">
        <f t="shared" si="63"/>
        <v>5.2500000000000009</v>
      </c>
      <c r="F448" s="290"/>
      <c r="G448" s="32"/>
      <c r="H448" s="32" t="str">
        <f>VLOOKUP(B448,'Full Item list'!A:B,2,0)</f>
        <v>FS-550</v>
      </c>
      <c r="I448" s="32"/>
      <c r="J448" s="32" t="str">
        <f t="shared" si="64"/>
        <v>KG</v>
      </c>
      <c r="K448" s="32" t="str">
        <f>VLOOKUP(H448,'Full Item list'!B:O,14,0)</f>
        <v>KG</v>
      </c>
      <c r="L448" s="36">
        <v>5</v>
      </c>
      <c r="M448" s="22" t="e">
        <f t="shared" si="65"/>
        <v>#DIV/0!</v>
      </c>
      <c r="N448" s="22" t="e">
        <f>VLOOKUP(B448,#REF!,9,0)</f>
        <v>#REF!</v>
      </c>
      <c r="O448">
        <f>IFERROR(IF(J448="KG",VLOOKUP(H448,'Cost Price New'!D:E,2,0),VLOOKUP('BOMs setting'!H448,'Cost Price New'!D:I,6,0)),VLOOKUP(H448,A:R,18,0))</f>
        <v>3.5000000000000003E-2</v>
      </c>
      <c r="P448" s="22"/>
      <c r="Q448">
        <v>1054.8</v>
      </c>
      <c r="V448" t="s">
        <v>602</v>
      </c>
      <c r="W448" s="135" t="s">
        <v>605</v>
      </c>
      <c r="AA448" t="str">
        <f>IFERROR(VLOOKUP(A448,'Capacity of production'!A:C,3,0),"")</f>
        <v/>
      </c>
    </row>
    <row r="449" spans="1:27" ht="15.75" thickBot="1">
      <c r="B449" s="67" t="s">
        <v>339</v>
      </c>
      <c r="C449" s="78" t="s">
        <v>354</v>
      </c>
      <c r="D449" s="73">
        <v>150</v>
      </c>
      <c r="E449" s="31">
        <f t="shared" si="63"/>
        <v>5.2500000000000009</v>
      </c>
      <c r="F449" s="290"/>
      <c r="G449" s="32"/>
      <c r="H449" s="32" t="str">
        <f>VLOOKUP(B449,'Full Item list'!A:B,2,0)</f>
        <v>FS-560</v>
      </c>
      <c r="I449" s="32"/>
      <c r="J449" s="32" t="str">
        <f t="shared" si="64"/>
        <v>KG</v>
      </c>
      <c r="K449" s="32" t="str">
        <f>VLOOKUP(H449,'Full Item list'!B:O,14,0)</f>
        <v>KG</v>
      </c>
      <c r="L449" s="36">
        <v>5</v>
      </c>
      <c r="M449" s="22" t="e">
        <f t="shared" si="65"/>
        <v>#DIV/0!</v>
      </c>
      <c r="N449" s="22" t="e">
        <f>VLOOKUP(B449,#REF!,9,0)</f>
        <v>#REF!</v>
      </c>
      <c r="O449">
        <f>IFERROR(IF(J449="KG",VLOOKUP(H449,'Cost Price New'!D:E,2,0),VLOOKUP('BOMs setting'!H449,'Cost Price New'!D:I,6,0)),VLOOKUP(H449,A:R,18,0))</f>
        <v>3.5000000000000003E-2</v>
      </c>
      <c r="P449" s="22"/>
      <c r="Q449">
        <v>1054.8</v>
      </c>
      <c r="V449" t="s">
        <v>602</v>
      </c>
      <c r="W449" s="135" t="s">
        <v>605</v>
      </c>
      <c r="AA449" t="str">
        <f>IFERROR(VLOOKUP(A449,'Capacity of production'!A:C,3,0),"")</f>
        <v/>
      </c>
    </row>
    <row r="450" spans="1:27" ht="15.75" thickBot="1">
      <c r="B450" s="67" t="s">
        <v>341</v>
      </c>
      <c r="C450" s="78" t="s">
        <v>121</v>
      </c>
      <c r="D450" s="34">
        <v>150</v>
      </c>
      <c r="E450" s="31">
        <f t="shared" si="63"/>
        <v>4.8</v>
      </c>
      <c r="F450" s="291"/>
      <c r="G450" s="36"/>
      <c r="H450" s="36" t="str">
        <f>VLOOKUP(B450,'Full Item list'!A:B,2,0)</f>
        <v>FS-570</v>
      </c>
      <c r="I450" s="36"/>
      <c r="J450" s="32" t="str">
        <f t="shared" si="64"/>
        <v>KG</v>
      </c>
      <c r="K450" s="36" t="str">
        <f>VLOOKUP(H450,'Full Item list'!B:O,14,0)</f>
        <v>KG</v>
      </c>
      <c r="L450" s="36">
        <v>5</v>
      </c>
      <c r="M450" s="22" t="e">
        <f t="shared" si="65"/>
        <v>#DIV/0!</v>
      </c>
      <c r="N450" s="22" t="e">
        <f>VLOOKUP(B450,#REF!,9,0)</f>
        <v>#REF!</v>
      </c>
      <c r="O450">
        <f>IFERROR(IF(J450="KG",VLOOKUP(H450,'Cost Price New'!D:E,2,0),VLOOKUP('BOMs setting'!H450,'Cost Price New'!D:I,6,0)),VLOOKUP(H450,A:R,18,0))</f>
        <v>3.2000000000000001E-2</v>
      </c>
      <c r="P450" s="22"/>
      <c r="Q450">
        <v>1054.8</v>
      </c>
      <c r="V450" t="s">
        <v>602</v>
      </c>
      <c r="W450" s="135" t="s">
        <v>605</v>
      </c>
      <c r="AA450" t="str">
        <f>IFERROR(VLOOKUP(A450,'Capacity of production'!A:C,3,0),"")</f>
        <v/>
      </c>
    </row>
    <row r="451" spans="1:27" ht="15.75" thickBot="1">
      <c r="B451" s="67" t="s">
        <v>347</v>
      </c>
      <c r="C451" s="78" t="s">
        <v>355</v>
      </c>
      <c r="D451" s="34">
        <v>200</v>
      </c>
      <c r="E451" s="31">
        <f t="shared" si="63"/>
        <v>7.0000000000000009</v>
      </c>
      <c r="F451" s="291"/>
      <c r="G451" s="36"/>
      <c r="H451" s="36" t="str">
        <f>VLOOKUP(B451,'Full Item list'!A:B,2,0)</f>
        <v>FS-580</v>
      </c>
      <c r="I451" s="36"/>
      <c r="J451" s="32" t="str">
        <f t="shared" si="64"/>
        <v>KG</v>
      </c>
      <c r="K451" s="36" t="str">
        <f>VLOOKUP(H451,'Full Item list'!B:O,14,0)</f>
        <v>KG</v>
      </c>
      <c r="L451" s="36">
        <v>5</v>
      </c>
      <c r="M451" s="22" t="e">
        <f t="shared" si="65"/>
        <v>#DIV/0!</v>
      </c>
      <c r="N451" s="22" t="e">
        <f>VLOOKUP(B451,#REF!,9,0)</f>
        <v>#REF!</v>
      </c>
      <c r="O451">
        <f>IFERROR(IF(J451="KG",VLOOKUP(H451,'Cost Price New'!D:E,2,0),VLOOKUP('BOMs setting'!H451,'Cost Price New'!D:I,6,0)),VLOOKUP(H451,A:R,18,0))</f>
        <v>3.5000000000000003E-2</v>
      </c>
      <c r="P451" s="22"/>
      <c r="Q451">
        <v>1054.8</v>
      </c>
      <c r="V451" t="s">
        <v>602</v>
      </c>
      <c r="W451" s="135" t="s">
        <v>605</v>
      </c>
      <c r="AA451" t="str">
        <f>IFERROR(VLOOKUP(A451,'Capacity of production'!A:C,3,0),"")</f>
        <v/>
      </c>
    </row>
    <row r="452" spans="1:27" ht="15.75" thickBot="1">
      <c r="B452" s="75" t="s">
        <v>246</v>
      </c>
      <c r="C452" s="79" t="s">
        <v>247</v>
      </c>
      <c r="D452" s="39">
        <v>44.8</v>
      </c>
      <c r="E452" s="31">
        <f t="shared" ca="1" si="63"/>
        <v>69.679903503325946</v>
      </c>
      <c r="F452" s="292"/>
      <c r="G452" s="36"/>
      <c r="H452" s="36" t="str">
        <f>VLOOKUP(B452,'Full Item list'!A:B,2,0)</f>
        <v>SPMO006</v>
      </c>
      <c r="I452" s="36"/>
      <c r="J452" s="32" t="str">
        <f t="shared" si="64"/>
        <v>KG</v>
      </c>
      <c r="K452" s="36" t="str">
        <f>VLOOKUP(H452,'Full Item list'!B:O,14,0)</f>
        <v>KG</v>
      </c>
      <c r="L452" s="36">
        <v>0.1</v>
      </c>
      <c r="M452">
        <f t="shared" ca="1" si="65"/>
        <v>7.7767749445676283E-3</v>
      </c>
      <c r="N452" t="e">
        <f>VLOOKUP(B452,#REF!,9,0)</f>
        <v>#REF!</v>
      </c>
      <c r="O452">
        <f ca="1">IFERROR(IF(J452="KG",VLOOKUP(H452,'Cost Price New'!D:E,2,0),VLOOKUP('BOMs setting'!H452,'Cost Price New'!D:I,6,0)),VLOOKUP(H452,A:R,18,0))</f>
        <v>1.5553549889135256</v>
      </c>
      <c r="P452">
        <v>200</v>
      </c>
      <c r="Q452">
        <v>1054.8</v>
      </c>
      <c r="V452" t="s">
        <v>603</v>
      </c>
      <c r="W452" s="135" t="s">
        <v>604</v>
      </c>
      <c r="AA452" t="str">
        <f>IFERROR(VLOOKUP(A452,'Capacity of production'!A:C,3,0),"")</f>
        <v/>
      </c>
    </row>
    <row r="453" spans="1:27" ht="15.75" thickBot="1">
      <c r="B453" s="41" t="s">
        <v>310</v>
      </c>
      <c r="C453" s="42" t="s">
        <v>312</v>
      </c>
      <c r="D453" s="284">
        <f>G445/AA440</f>
        <v>0.35159999999999997</v>
      </c>
      <c r="E453" s="31">
        <f t="shared" si="63"/>
        <v>172.65889012156737</v>
      </c>
      <c r="F453" s="45" t="s">
        <v>782</v>
      </c>
      <c r="G453" s="32"/>
      <c r="H453" s="32" t="str">
        <f>VLOOKUP(B453,'Full Item list'!A:B,2,0)</f>
        <v>LAB/OH-Mortar</v>
      </c>
      <c r="I453" s="32"/>
      <c r="J453" s="32" t="str">
        <f t="shared" si="64"/>
        <v>H</v>
      </c>
      <c r="K453" s="32" t="str">
        <f>VLOOKUP(H453,'Full Item list'!B:O,14,0)</f>
        <v>H</v>
      </c>
      <c r="L453" s="32"/>
      <c r="O453">
        <f>IFERROR(IF(J453="KG",VLOOKUP(H453,'Cost Price New'!D:E,2,0),VLOOKUP('BOMs setting'!H453,'Cost Price New'!D:I,6,0)),VLOOKUP(H453,A:R,18,0))</f>
        <v>491.06624039126103</v>
      </c>
      <c r="V453" t="s">
        <v>603</v>
      </c>
      <c r="W453" s="135" t="s">
        <v>604</v>
      </c>
      <c r="AA453" t="str">
        <f>IFERROR(VLOOKUP(A453,'Capacity of production'!A:C,3,0),"")</f>
        <v/>
      </c>
    </row>
    <row r="454" spans="1:27" ht="15">
      <c r="B454" s="54"/>
      <c r="C454" s="55"/>
      <c r="D454" s="56"/>
      <c r="E454" s="56" t="s">
        <v>466</v>
      </c>
      <c r="F454" s="56">
        <f ca="1">SUM(E447:E453)</f>
        <v>300.63879362489331</v>
      </c>
      <c r="G454" s="55"/>
      <c r="H454" s="55"/>
      <c r="I454" s="55"/>
      <c r="J454" s="55"/>
      <c r="K454" s="55"/>
      <c r="L454" s="55"/>
      <c r="V454" t="s">
        <v>603</v>
      </c>
      <c r="W454" s="135" t="s">
        <v>604</v>
      </c>
      <c r="AA454" t="str">
        <f>IFERROR(VLOOKUP(A454,'Capacity of production'!A:C,3,0),"")</f>
        <v/>
      </c>
    </row>
    <row r="455" spans="1:27" ht="15.75" thickBot="1">
      <c r="B455" s="2"/>
      <c r="C455" s="55"/>
      <c r="D455" s="55"/>
      <c r="E455" s="56"/>
      <c r="F455" s="55"/>
      <c r="G455" s="55"/>
      <c r="H455" s="55"/>
      <c r="I455" s="55"/>
      <c r="J455" s="55"/>
      <c r="K455" s="55"/>
      <c r="L455" s="55"/>
      <c r="V455" t="s">
        <v>603</v>
      </c>
      <c r="W455" s="135" t="s">
        <v>604</v>
      </c>
      <c r="AA455" t="str">
        <f>IFERROR(VLOOKUP(A455,'Capacity of production'!A:C,3,0),"")</f>
        <v/>
      </c>
    </row>
    <row r="456" spans="1:27" ht="16.5" thickBot="1">
      <c r="A456" t="str">
        <f>B456</f>
        <v>MO083F</v>
      </c>
      <c r="B456" s="66" t="s">
        <v>590</v>
      </c>
      <c r="C456" s="288" t="str">
        <f>VLOOKUP(A456,'All products'!A:B,2,0)</f>
        <v>FERROGROUT-A RÁPIDO (25KG)</v>
      </c>
      <c r="D456" s="288"/>
      <c r="E456" s="288"/>
      <c r="F456" s="289"/>
      <c r="G456" s="21">
        <v>1</v>
      </c>
      <c r="H456" s="21" t="str">
        <f>VLOOKUP(B456,'Full Item list'!A:B,2,0)</f>
        <v>MO083F</v>
      </c>
      <c r="I456" s="21">
        <f>VLOOKUP(H456,'Full Item list'!B:J,9,0)</f>
        <v>25</v>
      </c>
      <c r="J456" s="21"/>
      <c r="K456" s="21" t="str">
        <f>VLOOKUP(H456,'Full Item list'!B:O,14,0)</f>
        <v>PCS</v>
      </c>
      <c r="L456" s="21"/>
      <c r="M456">
        <f>O456/P456</f>
        <v>0</v>
      </c>
      <c r="N456" t="e">
        <f>VLOOKUP(B456,#REF!,9,0)</f>
        <v>#REF!</v>
      </c>
      <c r="P456">
        <v>25</v>
      </c>
      <c r="Q456">
        <f>SUM(D458:D459)</f>
        <v>25</v>
      </c>
      <c r="R456">
        <f ca="1">OFFSET(F456,MATCH("Total Cost:",E456:E580,0)-1,0,1,1)/G456</f>
        <v>15.867554397931089</v>
      </c>
      <c r="U456" t="str">
        <f>VLOOKUP(H456,'Full Item list'!B:D,3,0)</f>
        <v>Product</v>
      </c>
      <c r="V456" t="s">
        <v>603</v>
      </c>
      <c r="W456" s="135" t="s">
        <v>604</v>
      </c>
      <c r="X456" t="s">
        <v>633</v>
      </c>
      <c r="AA456">
        <f>IFERROR(VLOOKUP(A456,'Capacity of production'!A:C,3,0),"")</f>
        <v>1000</v>
      </c>
    </row>
    <row r="457" spans="1:27" ht="15" thickBot="1">
      <c r="B457" s="23" t="s">
        <v>319</v>
      </c>
      <c r="C457" s="24" t="s">
        <v>320</v>
      </c>
      <c r="D457" s="25" t="s">
        <v>321</v>
      </c>
      <c r="E457" s="25" t="s">
        <v>322</v>
      </c>
      <c r="F457" s="26" t="s">
        <v>323</v>
      </c>
      <c r="G457" s="27"/>
      <c r="H457" s="27"/>
      <c r="I457" s="27"/>
      <c r="J457" s="27"/>
      <c r="K457" s="27"/>
      <c r="L457" s="27"/>
      <c r="V457" t="s">
        <v>603</v>
      </c>
      <c r="W457" s="135" t="s">
        <v>604</v>
      </c>
      <c r="AA457" t="str">
        <f>IFERROR(VLOOKUP(A457,'Capacity of production'!A:C,3,0),"")</f>
        <v/>
      </c>
    </row>
    <row r="458" spans="1:27" ht="15.75" thickBot="1">
      <c r="B458" s="20" t="s">
        <v>591</v>
      </c>
      <c r="C458" s="55" t="str">
        <f>VLOOKUP(B458,'All products'!A:B,2,0)</f>
        <v>FERROGROUT-A RÁPIDO (KG)</v>
      </c>
      <c r="D458" s="43">
        <v>25</v>
      </c>
      <c r="E458" s="31">
        <f ca="1">O458*D458</f>
        <v>15.867554397931089</v>
      </c>
      <c r="F458" s="45"/>
      <c r="G458" s="32"/>
      <c r="H458" s="32" t="str">
        <f>VLOOKUP(B458,'Full Item list'!A:B,2,0)</f>
        <v>MO083F-1</v>
      </c>
      <c r="I458" s="32"/>
      <c r="J458" s="32" t="str">
        <f>K458</f>
        <v>KG</v>
      </c>
      <c r="K458" s="32" t="str">
        <f>VLOOKUP(H458,'Full Item list'!B:O,14,0)</f>
        <v>KG</v>
      </c>
      <c r="L458" s="32"/>
      <c r="M458">
        <f ca="1">O458/P458</f>
        <v>2.5388087036689742E-2</v>
      </c>
      <c r="N458" t="e">
        <f>VLOOKUP(B458,#REF!,9,0)</f>
        <v>#REF!</v>
      </c>
      <c r="O458">
        <f ca="1">IFERROR(IF(J458="KG",VLOOKUP(H458,'Cost Price New'!D:E,2,0),VLOOKUP('BOMs setting'!H458,'Cost Price New'!D:I,6,0)),VLOOKUP(H458,A:R,18,0))</f>
        <v>0.63470217591724354</v>
      </c>
      <c r="P458">
        <v>25</v>
      </c>
      <c r="Q458">
        <v>1</v>
      </c>
      <c r="V458" t="s">
        <v>603</v>
      </c>
      <c r="W458" s="135" t="s">
        <v>604</v>
      </c>
      <c r="AA458" t="str">
        <f>IFERROR(VLOOKUP(A458,'Capacity of production'!A:C,3,0),"")</f>
        <v/>
      </c>
    </row>
    <row r="459" spans="1:27" ht="15">
      <c r="B459" s="54"/>
      <c r="C459" s="55"/>
      <c r="D459" s="56"/>
      <c r="E459" s="56" t="s">
        <v>466</v>
      </c>
      <c r="F459" s="56">
        <f ca="1">E458</f>
        <v>15.867554397931089</v>
      </c>
      <c r="G459" s="55"/>
      <c r="H459" s="55"/>
      <c r="I459" s="55"/>
      <c r="J459" s="55"/>
      <c r="K459" s="55"/>
      <c r="L459" s="55"/>
      <c r="V459" t="s">
        <v>603</v>
      </c>
      <c r="W459" s="135" t="s">
        <v>604</v>
      </c>
      <c r="AA459" t="str">
        <f>IFERROR(VLOOKUP(A459,'Capacity of production'!A:C,3,0),"")</f>
        <v/>
      </c>
    </row>
    <row r="460" spans="1:27" ht="15.75" thickBot="1">
      <c r="B460" s="2"/>
      <c r="C460" s="55"/>
      <c r="D460" s="55"/>
      <c r="E460" s="56"/>
      <c r="F460" s="55"/>
      <c r="G460" s="55"/>
      <c r="H460" s="55"/>
      <c r="I460" s="55"/>
      <c r="J460" s="55"/>
      <c r="K460" s="55"/>
      <c r="L460" s="55"/>
      <c r="V460" t="s">
        <v>603</v>
      </c>
      <c r="W460" s="135" t="s">
        <v>604</v>
      </c>
      <c r="AA460" t="str">
        <f>IFERROR(VLOOKUP(A460,'Capacity of production'!A:C,3,0),"")</f>
        <v/>
      </c>
    </row>
    <row r="461" spans="1:27" ht="16.5" customHeight="1" thickBot="1">
      <c r="A461" t="str">
        <f>B461</f>
        <v>MO083F-1</v>
      </c>
      <c r="B461" s="66" t="s">
        <v>591</v>
      </c>
      <c r="C461" s="288" t="str">
        <f>VLOOKUP(A461,'All products'!A:B,2,0)</f>
        <v>FERROGROUT-A RÁPIDO (KG)</v>
      </c>
      <c r="D461" s="288"/>
      <c r="E461" s="288"/>
      <c r="F461" s="289"/>
      <c r="G461" s="21">
        <f>Q461</f>
        <v>1074.8</v>
      </c>
      <c r="H461" s="21" t="str">
        <f>VLOOKUP(B461,'Full Item list'!A:B,2,0)</f>
        <v>MO083F-1</v>
      </c>
      <c r="I461" s="21">
        <f>VLOOKUP(H461,'Full Item list'!B:J,9,0)</f>
        <v>1</v>
      </c>
      <c r="J461" s="21"/>
      <c r="K461" s="21" t="str">
        <f>VLOOKUP(H461,'Full Item list'!B:O,14,0)</f>
        <v>KG</v>
      </c>
      <c r="L461" s="21"/>
      <c r="M461">
        <f>O461/P461</f>
        <v>0</v>
      </c>
      <c r="N461" t="e">
        <f>VLOOKUP(B461,#REF!,9,0)</f>
        <v>#REF!</v>
      </c>
      <c r="P461">
        <v>25</v>
      </c>
      <c r="Q461">
        <f>SUM(D463:D469)</f>
        <v>1074.8</v>
      </c>
      <c r="R461">
        <f ca="1">OFFSET(F461,MATCH("Total Cost:",E461:E526,0)-1,0,1,1)/G461</f>
        <v>0.63470217591724354</v>
      </c>
      <c r="U461" t="str">
        <f>VLOOKUP(H461,'Full Item list'!B:D,3,0)</f>
        <v>Component</v>
      </c>
      <c r="V461" t="s">
        <v>603</v>
      </c>
      <c r="W461" s="135" t="s">
        <v>604</v>
      </c>
      <c r="X461" t="s">
        <v>633</v>
      </c>
      <c r="AA461" t="str">
        <f>IFERROR(VLOOKUP(A461,'Capacity of production'!A:C,3,0),"")</f>
        <v/>
      </c>
    </row>
    <row r="462" spans="1:27" ht="15" thickBot="1">
      <c r="B462" s="23" t="s">
        <v>319</v>
      </c>
      <c r="C462" s="69" t="s">
        <v>320</v>
      </c>
      <c r="D462" s="70" t="s">
        <v>321</v>
      </c>
      <c r="E462" s="70" t="s">
        <v>322</v>
      </c>
      <c r="F462" s="26" t="s">
        <v>323</v>
      </c>
      <c r="G462" s="27"/>
      <c r="H462" s="27"/>
      <c r="I462" s="27"/>
      <c r="J462" s="27"/>
      <c r="K462" s="27"/>
      <c r="L462" s="27"/>
      <c r="V462" t="s">
        <v>603</v>
      </c>
      <c r="W462" s="135" t="s">
        <v>604</v>
      </c>
      <c r="AA462" t="str">
        <f>IFERROR(VLOOKUP(A462,'Capacity of production'!A:C,3,0),"")</f>
        <v/>
      </c>
    </row>
    <row r="463" spans="1:27" ht="15.75" thickBot="1">
      <c r="B463" s="80" t="s">
        <v>343</v>
      </c>
      <c r="C463" s="77" t="s">
        <v>101</v>
      </c>
      <c r="D463" s="73">
        <v>360</v>
      </c>
      <c r="E463" s="31">
        <f t="shared" ref="E463:E470" si="66">O463*D463</f>
        <v>36</v>
      </c>
      <c r="F463" s="290"/>
      <c r="G463" s="32"/>
      <c r="H463" s="32" t="str">
        <f>VLOOKUP(B463,'Full Item list'!A:B,2,0)</f>
        <v>CE-080</v>
      </c>
      <c r="I463" s="32"/>
      <c r="J463" s="32" t="str">
        <f t="shared" ref="J463:J470" si="67">K463</f>
        <v>KG</v>
      </c>
      <c r="K463" s="32" t="str">
        <f>VLOOKUP(H463,'Full Item list'!B:O,14,0)</f>
        <v>KG</v>
      </c>
      <c r="L463" s="36">
        <v>5</v>
      </c>
      <c r="M463" s="22" t="e">
        <f t="shared" ref="M463:M469" si="68">O463/P463</f>
        <v>#DIV/0!</v>
      </c>
      <c r="N463" s="22" t="e">
        <f>VLOOKUP(B463,#REF!,9,0)</f>
        <v>#REF!</v>
      </c>
      <c r="O463">
        <f>IFERROR(IF(J463="KG",VLOOKUP(H463,'Cost Price New'!D:E,2,0),VLOOKUP('BOMs setting'!H463,'Cost Price New'!D:I,6,0)),VLOOKUP(H463,A:R,18,0))</f>
        <v>0.1</v>
      </c>
      <c r="P463" s="22"/>
      <c r="Q463">
        <v>1074.8</v>
      </c>
      <c r="V463" t="s">
        <v>602</v>
      </c>
      <c r="W463" s="135" t="s">
        <v>605</v>
      </c>
      <c r="AA463" t="str">
        <f>IFERROR(VLOOKUP(A463,'Capacity of production'!A:C,3,0),"")</f>
        <v/>
      </c>
    </row>
    <row r="464" spans="1:27" ht="15.75" thickBot="1">
      <c r="B464" s="67" t="s">
        <v>338</v>
      </c>
      <c r="C464" s="78" t="s">
        <v>353</v>
      </c>
      <c r="D464" s="73">
        <v>150</v>
      </c>
      <c r="E464" s="31">
        <f t="shared" si="66"/>
        <v>5.2500000000000009</v>
      </c>
      <c r="F464" s="290"/>
      <c r="G464" s="32"/>
      <c r="H464" s="32" t="str">
        <f>VLOOKUP(B464,'Full Item list'!A:B,2,0)</f>
        <v>FS-550</v>
      </c>
      <c r="I464" s="32"/>
      <c r="J464" s="32" t="str">
        <f t="shared" si="67"/>
        <v>KG</v>
      </c>
      <c r="K464" s="32" t="str">
        <f>VLOOKUP(H464,'Full Item list'!B:O,14,0)</f>
        <v>KG</v>
      </c>
      <c r="L464" s="36">
        <v>5</v>
      </c>
      <c r="M464" s="22" t="e">
        <f t="shared" si="68"/>
        <v>#DIV/0!</v>
      </c>
      <c r="N464" s="22" t="e">
        <f>VLOOKUP(B464,#REF!,9,0)</f>
        <v>#REF!</v>
      </c>
      <c r="O464">
        <f>IFERROR(IF(J464="KG",VLOOKUP(H464,'Cost Price New'!D:E,2,0),VLOOKUP('BOMs setting'!H464,'Cost Price New'!D:I,6,0)),VLOOKUP(H464,A:R,18,0))</f>
        <v>3.5000000000000003E-2</v>
      </c>
      <c r="P464" s="22"/>
      <c r="Q464">
        <v>1074.8</v>
      </c>
      <c r="V464" t="s">
        <v>602</v>
      </c>
      <c r="W464" s="135" t="s">
        <v>605</v>
      </c>
      <c r="AA464" t="str">
        <f>IFERROR(VLOOKUP(A464,'Capacity of production'!A:C,3,0),"")</f>
        <v/>
      </c>
    </row>
    <row r="465" spans="1:27" ht="15.75" thickBot="1">
      <c r="B465" s="67" t="s">
        <v>339</v>
      </c>
      <c r="C465" s="78" t="s">
        <v>354</v>
      </c>
      <c r="D465" s="73">
        <v>150</v>
      </c>
      <c r="E465" s="31">
        <f t="shared" si="66"/>
        <v>5.2500000000000009</v>
      </c>
      <c r="F465" s="290"/>
      <c r="G465" s="32"/>
      <c r="H465" s="32" t="str">
        <f>VLOOKUP(B465,'Full Item list'!A:B,2,0)</f>
        <v>FS-560</v>
      </c>
      <c r="I465" s="32"/>
      <c r="J465" s="32" t="str">
        <f t="shared" si="67"/>
        <v>KG</v>
      </c>
      <c r="K465" s="32" t="str">
        <f>VLOOKUP(H465,'Full Item list'!B:O,14,0)</f>
        <v>KG</v>
      </c>
      <c r="L465" s="36">
        <v>5</v>
      </c>
      <c r="M465" s="22" t="e">
        <f t="shared" si="68"/>
        <v>#DIV/0!</v>
      </c>
      <c r="N465" s="22" t="e">
        <f>VLOOKUP(B465,#REF!,9,0)</f>
        <v>#REF!</v>
      </c>
      <c r="O465">
        <f>IFERROR(IF(J465="KG",VLOOKUP(H465,'Cost Price New'!D:E,2,0),VLOOKUP('BOMs setting'!H465,'Cost Price New'!D:I,6,0)),VLOOKUP(H465,A:R,18,0))</f>
        <v>3.5000000000000003E-2</v>
      </c>
      <c r="P465" s="22"/>
      <c r="Q465">
        <v>1074.8</v>
      </c>
      <c r="V465" t="s">
        <v>602</v>
      </c>
      <c r="W465" s="135" t="s">
        <v>605</v>
      </c>
      <c r="AA465" t="str">
        <f>IFERROR(VLOOKUP(A465,'Capacity of production'!A:C,3,0),"")</f>
        <v/>
      </c>
    </row>
    <row r="466" spans="1:27" ht="15.75" thickBot="1">
      <c r="B466" s="67" t="s">
        <v>341</v>
      </c>
      <c r="C466" s="78" t="s">
        <v>121</v>
      </c>
      <c r="D466" s="34">
        <v>150</v>
      </c>
      <c r="E466" s="31">
        <f t="shared" si="66"/>
        <v>4.8</v>
      </c>
      <c r="F466" s="291"/>
      <c r="G466" s="36"/>
      <c r="H466" s="36" t="str">
        <f>VLOOKUP(B466,'Full Item list'!A:B,2,0)</f>
        <v>FS-570</v>
      </c>
      <c r="I466" s="36"/>
      <c r="J466" s="32" t="str">
        <f t="shared" si="67"/>
        <v>KG</v>
      </c>
      <c r="K466" s="36" t="str">
        <f>VLOOKUP(H466,'Full Item list'!B:O,14,0)</f>
        <v>KG</v>
      </c>
      <c r="L466" s="36">
        <v>5</v>
      </c>
      <c r="M466" s="22" t="e">
        <f t="shared" si="68"/>
        <v>#DIV/0!</v>
      </c>
      <c r="N466" s="22" t="e">
        <f>VLOOKUP(B466,#REF!,9,0)</f>
        <v>#REF!</v>
      </c>
      <c r="O466">
        <f>IFERROR(IF(J466="KG",VLOOKUP(H466,'Cost Price New'!D:E,2,0),VLOOKUP('BOMs setting'!H466,'Cost Price New'!D:I,6,0)),VLOOKUP(H466,A:R,18,0))</f>
        <v>3.2000000000000001E-2</v>
      </c>
      <c r="P466" s="22"/>
      <c r="Q466">
        <v>1074.8</v>
      </c>
      <c r="V466" t="s">
        <v>602</v>
      </c>
      <c r="W466" s="135" t="s">
        <v>605</v>
      </c>
      <c r="AA466" t="str">
        <f>IFERROR(VLOOKUP(A466,'Capacity of production'!A:C,3,0),"")</f>
        <v/>
      </c>
    </row>
    <row r="467" spans="1:27" ht="15.75" thickBot="1">
      <c r="B467" s="67" t="s">
        <v>347</v>
      </c>
      <c r="C467" s="78" t="s">
        <v>355</v>
      </c>
      <c r="D467" s="34">
        <v>200</v>
      </c>
      <c r="E467" s="31">
        <f t="shared" si="66"/>
        <v>7.0000000000000009</v>
      </c>
      <c r="F467" s="291"/>
      <c r="G467" s="36"/>
      <c r="H467" s="36" t="str">
        <f>VLOOKUP(B467,'Full Item list'!A:B,2,0)</f>
        <v>FS-580</v>
      </c>
      <c r="I467" s="36"/>
      <c r="J467" s="32" t="str">
        <f t="shared" si="67"/>
        <v>KG</v>
      </c>
      <c r="K467" s="36" t="str">
        <f>VLOOKUP(H467,'Full Item list'!B:O,14,0)</f>
        <v>KG</v>
      </c>
      <c r="L467" s="36">
        <v>5</v>
      </c>
      <c r="M467" s="22" t="e">
        <f t="shared" si="68"/>
        <v>#DIV/0!</v>
      </c>
      <c r="N467" s="22" t="e">
        <f>VLOOKUP(B467,#REF!,9,0)</f>
        <v>#REF!</v>
      </c>
      <c r="O467">
        <f>IFERROR(IF(J467="KG",VLOOKUP(H467,'Cost Price New'!D:E,2,0),VLOOKUP('BOMs setting'!H467,'Cost Price New'!D:I,6,0)),VLOOKUP(H467,A:R,18,0))</f>
        <v>3.5000000000000003E-2</v>
      </c>
      <c r="P467" s="22"/>
      <c r="Q467">
        <v>1074.8</v>
      </c>
      <c r="V467" t="s">
        <v>602</v>
      </c>
      <c r="W467" s="135" t="s">
        <v>605</v>
      </c>
      <c r="AA467" t="str">
        <f>IFERROR(VLOOKUP(A467,'Capacity of production'!A:C,3,0),"")</f>
        <v/>
      </c>
    </row>
    <row r="468" spans="1:27" ht="15.75" thickBot="1">
      <c r="B468" s="67" t="s">
        <v>166</v>
      </c>
      <c r="C468" s="74" t="s">
        <v>350</v>
      </c>
      <c r="D468" s="58">
        <v>20</v>
      </c>
      <c r="E468" s="31">
        <f t="shared" si="66"/>
        <v>26.400000000000002</v>
      </c>
      <c r="F468" s="293"/>
      <c r="G468" s="36"/>
      <c r="H468" s="36" t="str">
        <f>VLOOKUP(B468,'Full Item list'!A:B,2,0)</f>
        <v>FL-010</v>
      </c>
      <c r="I468" s="36"/>
      <c r="J468" s="32" t="s">
        <v>639</v>
      </c>
      <c r="K468" s="36" t="str">
        <f>VLOOKUP(H468,'Full Item list'!B:O,14,0)</f>
        <v>PCS</v>
      </c>
      <c r="L468" s="36">
        <v>5</v>
      </c>
      <c r="M468">
        <f t="shared" si="68"/>
        <v>6.6000000000000003E-2</v>
      </c>
      <c r="N468" t="e">
        <f>VLOOKUP(B468,#REF!,9,0)</f>
        <v>#REF!</v>
      </c>
      <c r="O468">
        <f>IFERROR(IF(J468="KG",VLOOKUP(H468,'Cost Price New'!D:E,2,0),VLOOKUP('BOMs setting'!H468,'Cost Price New'!D:I,6,0)),VLOOKUP(H468,A:R,18,0))</f>
        <v>1.32</v>
      </c>
      <c r="P468">
        <v>20</v>
      </c>
      <c r="Q468">
        <v>1074.8</v>
      </c>
      <c r="V468" t="s">
        <v>603</v>
      </c>
      <c r="W468" s="135" t="s">
        <v>604</v>
      </c>
      <c r="AA468" t="str">
        <f>IFERROR(VLOOKUP(A468,'Capacity of production'!A:C,3,0),"")</f>
        <v/>
      </c>
    </row>
    <row r="469" spans="1:27" ht="15.75" thickBot="1">
      <c r="B469" s="75" t="s">
        <v>246</v>
      </c>
      <c r="C469" s="79" t="s">
        <v>247</v>
      </c>
      <c r="D469" s="39">
        <v>44.8</v>
      </c>
      <c r="E469" s="31">
        <f t="shared" ca="1" si="66"/>
        <v>69.679903503325946</v>
      </c>
      <c r="F469" s="292"/>
      <c r="G469" s="36"/>
      <c r="H469" s="36" t="str">
        <f>VLOOKUP(B469,'Full Item list'!A:B,2,0)</f>
        <v>SPMO006</v>
      </c>
      <c r="I469" s="36"/>
      <c r="J469" s="32" t="str">
        <f t="shared" si="67"/>
        <v>KG</v>
      </c>
      <c r="K469" s="36" t="str">
        <f>VLOOKUP(H469,'Full Item list'!B:O,14,0)</f>
        <v>KG</v>
      </c>
      <c r="L469" s="36">
        <v>0.1</v>
      </c>
      <c r="M469">
        <f t="shared" ca="1" si="68"/>
        <v>7.7767749445676283E-3</v>
      </c>
      <c r="N469" t="e">
        <f>VLOOKUP(B469,#REF!,9,0)</f>
        <v>#REF!</v>
      </c>
      <c r="O469">
        <f ca="1">IFERROR(IF(J469="KG",VLOOKUP(H469,'Cost Price New'!D:E,2,0),VLOOKUP('BOMs setting'!H469,'Cost Price New'!D:I,6,0)),VLOOKUP(H469,A:R,18,0))</f>
        <v>1.5553549889135256</v>
      </c>
      <c r="P469">
        <v>200</v>
      </c>
      <c r="Q469">
        <v>1074.8</v>
      </c>
      <c r="V469" t="s">
        <v>603</v>
      </c>
      <c r="W469" s="135" t="s">
        <v>604</v>
      </c>
      <c r="AA469" t="str">
        <f>IFERROR(VLOOKUP(A469,'Capacity of production'!A:C,3,0),"")</f>
        <v/>
      </c>
    </row>
    <row r="470" spans="1:27" ht="15.75" thickBot="1">
      <c r="B470" s="41" t="s">
        <v>310</v>
      </c>
      <c r="C470" s="42" t="s">
        <v>312</v>
      </c>
      <c r="D470" s="284">
        <f>G461/AA456</f>
        <v>1.0748</v>
      </c>
      <c r="E470" s="31">
        <f t="shared" si="66"/>
        <v>527.79799517252729</v>
      </c>
      <c r="F470" s="45" t="s">
        <v>782</v>
      </c>
      <c r="G470" s="32"/>
      <c r="H470" s="32" t="str">
        <f>VLOOKUP(B470,'Full Item list'!A:B,2,0)</f>
        <v>LAB/OH-Mortar</v>
      </c>
      <c r="I470" s="32"/>
      <c r="J470" s="32" t="str">
        <f t="shared" si="67"/>
        <v>H</v>
      </c>
      <c r="K470" s="32" t="str">
        <f>VLOOKUP(H470,'Full Item list'!B:O,14,0)</f>
        <v>H</v>
      </c>
      <c r="L470" s="32"/>
      <c r="O470">
        <f>IFERROR(IF(J470="KG",VLOOKUP(H470,'Cost Price New'!D:E,2,0),VLOOKUP('BOMs setting'!H470,'Cost Price New'!D:I,6,0)),VLOOKUP(H470,A:R,18,0))</f>
        <v>491.06624039126103</v>
      </c>
      <c r="V470" t="s">
        <v>603</v>
      </c>
      <c r="W470" s="135" t="s">
        <v>604</v>
      </c>
      <c r="AA470" t="str">
        <f>IFERROR(VLOOKUP(A470,'Capacity of production'!A:C,3,0),"")</f>
        <v/>
      </c>
    </row>
    <row r="471" spans="1:27" ht="15">
      <c r="B471" s="54"/>
      <c r="C471" s="55"/>
      <c r="D471" s="56"/>
      <c r="E471" s="56" t="s">
        <v>466</v>
      </c>
      <c r="F471" s="56">
        <f ca="1">SUM(E463:E470)</f>
        <v>682.17789867585327</v>
      </c>
      <c r="G471" s="55"/>
      <c r="H471" s="55"/>
      <c r="I471" s="55"/>
      <c r="J471" s="55"/>
      <c r="K471" s="55"/>
      <c r="L471" s="55"/>
      <c r="V471" t="s">
        <v>603</v>
      </c>
      <c r="W471" s="135" t="s">
        <v>604</v>
      </c>
      <c r="AA471" t="str">
        <f>IFERROR(VLOOKUP(A471,'Capacity of production'!A:C,3,0),"")</f>
        <v/>
      </c>
    </row>
    <row r="472" spans="1:27" ht="15.75" thickBot="1">
      <c r="B472" s="2"/>
      <c r="C472" s="55"/>
      <c r="D472" s="55"/>
      <c r="E472" s="56"/>
      <c r="F472" s="55"/>
      <c r="G472" s="55"/>
      <c r="H472" s="55"/>
      <c r="I472" s="55"/>
      <c r="J472" s="55"/>
      <c r="K472" s="55"/>
      <c r="L472" s="55"/>
      <c r="V472" t="s">
        <v>603</v>
      </c>
      <c r="W472" s="135" t="s">
        <v>604</v>
      </c>
      <c r="AA472" t="str">
        <f>IFERROR(VLOOKUP(A472,'Capacity of production'!A:C,3,0),"")</f>
        <v/>
      </c>
    </row>
    <row r="473" spans="1:27" ht="16.5" thickBot="1">
      <c r="A473" t="str">
        <f>B473</f>
        <v>MO084F</v>
      </c>
      <c r="B473" s="66" t="s">
        <v>592</v>
      </c>
      <c r="C473" s="288" t="str">
        <f>VLOOKUP(A473,'All products'!A:B,2,0)</f>
        <v>FERROGROUT-A RÁPIDO NEGRO (25KG)</v>
      </c>
      <c r="D473" s="288"/>
      <c r="E473" s="288"/>
      <c r="F473" s="289"/>
      <c r="G473" s="21">
        <v>1</v>
      </c>
      <c r="H473" s="21" t="str">
        <f>VLOOKUP(B473,'Full Item list'!A:B,2,0)</f>
        <v>MO084F</v>
      </c>
      <c r="I473" s="21">
        <f>VLOOKUP(H473,'Full Item list'!B:J,9,0)</f>
        <v>25</v>
      </c>
      <c r="J473" s="21"/>
      <c r="K473" s="21" t="str">
        <f>VLOOKUP(H473,'Full Item list'!B:O,14,0)</f>
        <v>PCS</v>
      </c>
      <c r="L473" s="21"/>
      <c r="M473">
        <f>O473/P473</f>
        <v>0</v>
      </c>
      <c r="N473" t="e">
        <f>VLOOKUP(B473,#REF!,9,0)</f>
        <v>#REF!</v>
      </c>
      <c r="P473">
        <v>25</v>
      </c>
      <c r="Q473">
        <f>SUM(D475:D476)</f>
        <v>25</v>
      </c>
      <c r="R473">
        <f ca="1">OFFSET(F473,MATCH("Total Cost:",E473:E597,0)-1,0,1,1)/G473</f>
        <v>17.451003698073166</v>
      </c>
      <c r="U473" t="str">
        <f>VLOOKUP(H473,'Full Item list'!B:D,3,0)</f>
        <v>Product</v>
      </c>
      <c r="V473" t="s">
        <v>603</v>
      </c>
      <c r="W473" s="135" t="s">
        <v>604</v>
      </c>
      <c r="X473" t="s">
        <v>633</v>
      </c>
      <c r="AA473">
        <f>IFERROR(VLOOKUP(A473,'Capacity of production'!A:C,3,0),"")</f>
        <v>1000</v>
      </c>
    </row>
    <row r="474" spans="1:27" ht="15" thickBot="1">
      <c r="B474" s="23" t="s">
        <v>319</v>
      </c>
      <c r="C474" s="24" t="s">
        <v>320</v>
      </c>
      <c r="D474" s="25" t="s">
        <v>321</v>
      </c>
      <c r="E474" s="25" t="s">
        <v>322</v>
      </c>
      <c r="F474" s="26" t="s">
        <v>323</v>
      </c>
      <c r="G474" s="27"/>
      <c r="H474" s="27"/>
      <c r="I474" s="27"/>
      <c r="J474" s="27"/>
      <c r="K474" s="27"/>
      <c r="L474" s="27"/>
      <c r="V474" t="s">
        <v>603</v>
      </c>
      <c r="W474" s="135" t="s">
        <v>604</v>
      </c>
      <c r="AA474" t="str">
        <f>IFERROR(VLOOKUP(A474,'Capacity of production'!A:C,3,0),"")</f>
        <v/>
      </c>
    </row>
    <row r="475" spans="1:27" ht="15.75" thickBot="1">
      <c r="B475" s="20" t="s">
        <v>593</v>
      </c>
      <c r="C475" s="55" t="str">
        <f>VLOOKUP(B475,'All products'!A:B,2,0)</f>
        <v>FERROGROUT-A RÁPIDO NEGRO (KG)</v>
      </c>
      <c r="D475" s="43">
        <v>25</v>
      </c>
      <c r="E475" s="31">
        <f ca="1">O475*D475</f>
        <v>17.451003698073166</v>
      </c>
      <c r="F475" s="45"/>
      <c r="G475" s="32"/>
      <c r="H475" s="32" t="str">
        <f>VLOOKUP(B475,'Full Item list'!A:B,2,0)</f>
        <v>MO084F-1</v>
      </c>
      <c r="I475" s="32"/>
      <c r="J475" s="32" t="str">
        <f>K475</f>
        <v>KG</v>
      </c>
      <c r="K475" s="32" t="str">
        <f>VLOOKUP(H475,'Full Item list'!B:O,14,0)</f>
        <v>KG</v>
      </c>
      <c r="L475" s="32"/>
      <c r="M475">
        <f ca="1">O475/P475</f>
        <v>2.7921605916917069E-2</v>
      </c>
      <c r="N475" t="e">
        <f>VLOOKUP(B475,#REF!,9,0)</f>
        <v>#REF!</v>
      </c>
      <c r="O475">
        <f ca="1">IFERROR(IF(J475="KG",VLOOKUP(H475,'Cost Price New'!D:E,2,0),VLOOKUP('BOMs setting'!H475,'Cost Price New'!D:I,6,0)),VLOOKUP(H475,A:R,18,0))</f>
        <v>0.69804014792292668</v>
      </c>
      <c r="P475">
        <v>25</v>
      </c>
      <c r="Q475">
        <v>1</v>
      </c>
      <c r="V475" t="s">
        <v>603</v>
      </c>
      <c r="W475" s="135" t="s">
        <v>604</v>
      </c>
      <c r="AA475" t="str">
        <f>IFERROR(VLOOKUP(A475,'Capacity of production'!A:C,3,0),"")</f>
        <v/>
      </c>
    </row>
    <row r="476" spans="1:27" ht="15">
      <c r="B476" s="54"/>
      <c r="C476" s="55"/>
      <c r="D476" s="56"/>
      <c r="E476" s="56" t="s">
        <v>466</v>
      </c>
      <c r="F476" s="56">
        <f ca="1">E475</f>
        <v>17.451003698073166</v>
      </c>
      <c r="G476" s="55"/>
      <c r="H476" s="55"/>
      <c r="I476" s="55"/>
      <c r="J476" s="55"/>
      <c r="K476" s="55"/>
      <c r="L476" s="55"/>
      <c r="V476" t="s">
        <v>603</v>
      </c>
      <c r="W476" s="135" t="s">
        <v>604</v>
      </c>
      <c r="AA476" t="str">
        <f>IFERROR(VLOOKUP(A476,'Capacity of production'!A:C,3,0),"")</f>
        <v/>
      </c>
    </row>
    <row r="477" spans="1:27" ht="15.75" thickBot="1">
      <c r="B477" s="2"/>
      <c r="C477" s="55"/>
      <c r="D477" s="55"/>
      <c r="E477" s="56"/>
      <c r="F477" s="55"/>
      <c r="G477" s="55"/>
      <c r="H477" s="55"/>
      <c r="I477" s="55"/>
      <c r="J477" s="55"/>
      <c r="K477" s="55"/>
      <c r="L477" s="55"/>
      <c r="V477" t="s">
        <v>603</v>
      </c>
      <c r="W477" s="135" t="s">
        <v>604</v>
      </c>
      <c r="AA477" t="str">
        <f>IFERROR(VLOOKUP(A477,'Capacity of production'!A:C,3,0),"")</f>
        <v/>
      </c>
    </row>
    <row r="478" spans="1:27" ht="16.5" customHeight="1" thickBot="1">
      <c r="A478" t="str">
        <f>B478</f>
        <v>MO084F-1</v>
      </c>
      <c r="B478" s="66" t="s">
        <v>593</v>
      </c>
      <c r="C478" s="288" t="str">
        <f>VLOOKUP(A478,'All products'!A:B,2,0)</f>
        <v>FERROGROUT-A RÁPIDO NEGRO (KG)</v>
      </c>
      <c r="D478" s="288"/>
      <c r="E478" s="288"/>
      <c r="F478" s="289"/>
      <c r="G478" s="21">
        <f>Q478</f>
        <v>1099.8</v>
      </c>
      <c r="H478" s="21" t="str">
        <f>VLOOKUP(B478,'Full Item list'!A:B,2,0)</f>
        <v>MO084F-1</v>
      </c>
      <c r="I478" s="21">
        <f>VLOOKUP(H478,'Full Item list'!B:J,9,0)</f>
        <v>1</v>
      </c>
      <c r="J478" s="21"/>
      <c r="K478" s="21" t="str">
        <f>VLOOKUP(H478,'Full Item list'!B:O,14,0)</f>
        <v>KG</v>
      </c>
      <c r="L478" s="21"/>
      <c r="M478">
        <f>O478/P478</f>
        <v>0</v>
      </c>
      <c r="N478" t="e">
        <f>VLOOKUP(B478,#REF!,9,0)</f>
        <v>#REF!</v>
      </c>
      <c r="P478">
        <v>25</v>
      </c>
      <c r="Q478">
        <f>SUM(D480:D487)</f>
        <v>1099.8</v>
      </c>
      <c r="R478">
        <f ca="1">OFFSET(F478,MATCH("Total Cost:",E478:E538,0)-1,0,1,1)/G478</f>
        <v>0.69804014792292668</v>
      </c>
      <c r="U478" t="str">
        <f>VLOOKUP(H478,'Full Item list'!B:D,3,0)</f>
        <v>Component</v>
      </c>
      <c r="V478" t="s">
        <v>603</v>
      </c>
      <c r="W478" s="135" t="s">
        <v>604</v>
      </c>
      <c r="X478" t="s">
        <v>633</v>
      </c>
      <c r="AA478" t="str">
        <f>IFERROR(VLOOKUP(A478,'Capacity of production'!A:C,3,0),"")</f>
        <v/>
      </c>
    </row>
    <row r="479" spans="1:27" ht="15" thickBot="1">
      <c r="B479" s="23" t="s">
        <v>319</v>
      </c>
      <c r="C479" s="69" t="s">
        <v>320</v>
      </c>
      <c r="D479" s="70" t="s">
        <v>321</v>
      </c>
      <c r="E479" s="70" t="s">
        <v>322</v>
      </c>
      <c r="F479" s="26" t="s">
        <v>323</v>
      </c>
      <c r="G479" s="27"/>
      <c r="H479" s="27"/>
      <c r="I479" s="27"/>
      <c r="J479" s="27"/>
      <c r="K479" s="27"/>
      <c r="L479" s="27"/>
      <c r="V479" t="s">
        <v>603</v>
      </c>
      <c r="W479" s="135" t="s">
        <v>604</v>
      </c>
      <c r="AA479" t="str">
        <f>IFERROR(VLOOKUP(A479,'Capacity of production'!A:C,3,0),"")</f>
        <v/>
      </c>
    </row>
    <row r="480" spans="1:27" ht="15.75" thickBot="1">
      <c r="B480" s="80" t="s">
        <v>343</v>
      </c>
      <c r="C480" s="77" t="s">
        <v>101</v>
      </c>
      <c r="D480" s="73">
        <v>360</v>
      </c>
      <c r="E480" s="31">
        <f t="shared" ref="E480:E488" si="69">O480*D480</f>
        <v>36</v>
      </c>
      <c r="F480" s="290"/>
      <c r="G480" s="32"/>
      <c r="H480" s="32" t="str">
        <f>VLOOKUP(B480,'Full Item list'!A:B,2,0)</f>
        <v>CE-080</v>
      </c>
      <c r="I480" s="32"/>
      <c r="J480" s="32" t="str">
        <f t="shared" ref="J480:J488" si="70">K480</f>
        <v>KG</v>
      </c>
      <c r="K480" s="32" t="str">
        <f>VLOOKUP(H480,'Full Item list'!B:O,14,0)</f>
        <v>KG</v>
      </c>
      <c r="L480" s="36">
        <v>5</v>
      </c>
      <c r="M480" s="22" t="e">
        <f t="shared" ref="M480:M487" si="71">O480/P480</f>
        <v>#DIV/0!</v>
      </c>
      <c r="N480" s="22" t="e">
        <f>VLOOKUP(B480,#REF!,9,0)</f>
        <v>#REF!</v>
      </c>
      <c r="O480">
        <f>IFERROR(IF(J480="KG",VLOOKUP(H480,'Cost Price New'!D:E,2,0),VLOOKUP('BOMs setting'!H480,'Cost Price New'!D:I,6,0)),VLOOKUP(H480,A:R,18,0))</f>
        <v>0.1</v>
      </c>
      <c r="P480" s="22"/>
      <c r="Q480">
        <v>1099.8</v>
      </c>
      <c r="V480" t="s">
        <v>602</v>
      </c>
      <c r="W480" s="135" t="s">
        <v>605</v>
      </c>
      <c r="AA480" t="str">
        <f>IFERROR(VLOOKUP(A480,'Capacity of production'!A:C,3,0),"")</f>
        <v/>
      </c>
    </row>
    <row r="481" spans="1:27" ht="15.75" thickBot="1">
      <c r="B481" s="67" t="s">
        <v>338</v>
      </c>
      <c r="C481" s="78" t="s">
        <v>353</v>
      </c>
      <c r="D481" s="73">
        <v>150</v>
      </c>
      <c r="E481" s="31">
        <f t="shared" si="69"/>
        <v>5.2500000000000009</v>
      </c>
      <c r="F481" s="290"/>
      <c r="G481" s="32"/>
      <c r="H481" s="32" t="str">
        <f>VLOOKUP(B481,'Full Item list'!A:B,2,0)</f>
        <v>FS-550</v>
      </c>
      <c r="I481" s="32"/>
      <c r="J481" s="32" t="str">
        <f t="shared" si="70"/>
        <v>KG</v>
      </c>
      <c r="K481" s="32" t="str">
        <f>VLOOKUP(H481,'Full Item list'!B:O,14,0)</f>
        <v>KG</v>
      </c>
      <c r="L481" s="36">
        <v>5</v>
      </c>
      <c r="M481" s="22" t="e">
        <f t="shared" si="71"/>
        <v>#DIV/0!</v>
      </c>
      <c r="N481" s="22" t="e">
        <f>VLOOKUP(B481,#REF!,9,0)</f>
        <v>#REF!</v>
      </c>
      <c r="O481">
        <f>IFERROR(IF(J481="KG",VLOOKUP(H481,'Cost Price New'!D:E,2,0),VLOOKUP('BOMs setting'!H481,'Cost Price New'!D:I,6,0)),VLOOKUP(H481,A:R,18,0))</f>
        <v>3.5000000000000003E-2</v>
      </c>
      <c r="P481" s="22"/>
      <c r="Q481">
        <v>1099.8</v>
      </c>
      <c r="V481" t="s">
        <v>602</v>
      </c>
      <c r="W481" s="135" t="s">
        <v>605</v>
      </c>
      <c r="AA481" t="str">
        <f>IFERROR(VLOOKUP(A481,'Capacity of production'!A:C,3,0),"")</f>
        <v/>
      </c>
    </row>
    <row r="482" spans="1:27" ht="15.75" thickBot="1">
      <c r="B482" s="67" t="s">
        <v>339</v>
      </c>
      <c r="C482" s="78" t="s">
        <v>354</v>
      </c>
      <c r="D482" s="73">
        <v>150</v>
      </c>
      <c r="E482" s="31">
        <f t="shared" si="69"/>
        <v>5.2500000000000009</v>
      </c>
      <c r="F482" s="290"/>
      <c r="G482" s="32"/>
      <c r="H482" s="32" t="str">
        <f>VLOOKUP(B482,'Full Item list'!A:B,2,0)</f>
        <v>FS-560</v>
      </c>
      <c r="I482" s="32"/>
      <c r="J482" s="32" t="str">
        <f t="shared" si="70"/>
        <v>KG</v>
      </c>
      <c r="K482" s="32" t="str">
        <f>VLOOKUP(H482,'Full Item list'!B:O,14,0)</f>
        <v>KG</v>
      </c>
      <c r="L482" s="36">
        <v>5</v>
      </c>
      <c r="M482" s="22" t="e">
        <f t="shared" si="71"/>
        <v>#DIV/0!</v>
      </c>
      <c r="N482" s="22" t="e">
        <f>VLOOKUP(B482,#REF!,9,0)</f>
        <v>#REF!</v>
      </c>
      <c r="O482">
        <f>IFERROR(IF(J482="KG",VLOOKUP(H482,'Cost Price New'!D:E,2,0),VLOOKUP('BOMs setting'!H482,'Cost Price New'!D:I,6,0)),VLOOKUP(H482,A:R,18,0))</f>
        <v>3.5000000000000003E-2</v>
      </c>
      <c r="P482" s="22"/>
      <c r="Q482">
        <v>1099.8</v>
      </c>
      <c r="V482" t="s">
        <v>602</v>
      </c>
      <c r="W482" s="135" t="s">
        <v>605</v>
      </c>
      <c r="AA482" t="str">
        <f>IFERROR(VLOOKUP(A482,'Capacity of production'!A:C,3,0),"")</f>
        <v/>
      </c>
    </row>
    <row r="483" spans="1:27" ht="15.75" thickBot="1">
      <c r="B483" s="67" t="s">
        <v>341</v>
      </c>
      <c r="C483" s="78" t="s">
        <v>121</v>
      </c>
      <c r="D483" s="34">
        <v>150</v>
      </c>
      <c r="E483" s="31">
        <f t="shared" si="69"/>
        <v>4.8</v>
      </c>
      <c r="F483" s="291"/>
      <c r="G483" s="36"/>
      <c r="H483" s="36" t="str">
        <f>VLOOKUP(B483,'Full Item list'!A:B,2,0)</f>
        <v>FS-570</v>
      </c>
      <c r="I483" s="36"/>
      <c r="J483" s="32" t="str">
        <f t="shared" si="70"/>
        <v>KG</v>
      </c>
      <c r="K483" s="36" t="str">
        <f>VLOOKUP(H483,'Full Item list'!B:O,14,0)</f>
        <v>KG</v>
      </c>
      <c r="L483" s="36">
        <v>5</v>
      </c>
      <c r="M483" s="22" t="e">
        <f t="shared" si="71"/>
        <v>#DIV/0!</v>
      </c>
      <c r="N483" s="22" t="e">
        <f>VLOOKUP(B483,#REF!,9,0)</f>
        <v>#REF!</v>
      </c>
      <c r="O483">
        <f>IFERROR(IF(J483="KG",VLOOKUP(H483,'Cost Price New'!D:E,2,0),VLOOKUP('BOMs setting'!H483,'Cost Price New'!D:I,6,0)),VLOOKUP(H483,A:R,18,0))</f>
        <v>3.2000000000000001E-2</v>
      </c>
      <c r="P483" s="22"/>
      <c r="Q483">
        <v>1099.8</v>
      </c>
      <c r="V483" t="s">
        <v>602</v>
      </c>
      <c r="W483" s="135" t="s">
        <v>605</v>
      </c>
      <c r="AA483" t="str">
        <f>IFERROR(VLOOKUP(A483,'Capacity of production'!A:C,3,0),"")</f>
        <v/>
      </c>
    </row>
    <row r="484" spans="1:27" ht="15.75" thickBot="1">
      <c r="B484" s="67" t="s">
        <v>347</v>
      </c>
      <c r="C484" s="78" t="s">
        <v>355</v>
      </c>
      <c r="D484" s="34">
        <v>200</v>
      </c>
      <c r="E484" s="31">
        <f t="shared" si="69"/>
        <v>7.0000000000000009</v>
      </c>
      <c r="F484" s="291"/>
      <c r="G484" s="36"/>
      <c r="H484" s="36" t="str">
        <f>VLOOKUP(B484,'Full Item list'!A:B,2,0)</f>
        <v>FS-580</v>
      </c>
      <c r="I484" s="36"/>
      <c r="J484" s="32" t="str">
        <f t="shared" si="70"/>
        <v>KG</v>
      </c>
      <c r="K484" s="36" t="str">
        <f>VLOOKUP(H484,'Full Item list'!B:O,14,0)</f>
        <v>KG</v>
      </c>
      <c r="L484" s="36">
        <v>5</v>
      </c>
      <c r="M484" s="22" t="e">
        <f t="shared" si="71"/>
        <v>#DIV/0!</v>
      </c>
      <c r="N484" s="22" t="e">
        <f>VLOOKUP(B484,#REF!,9,0)</f>
        <v>#REF!</v>
      </c>
      <c r="O484">
        <f>IFERROR(IF(J484="KG",VLOOKUP(H484,'Cost Price New'!D:E,2,0),VLOOKUP('BOMs setting'!H484,'Cost Price New'!D:I,6,0)),VLOOKUP(H484,A:R,18,0))</f>
        <v>3.5000000000000003E-2</v>
      </c>
      <c r="P484" s="22"/>
      <c r="Q484">
        <v>1099.8</v>
      </c>
      <c r="V484" t="s">
        <v>602</v>
      </c>
      <c r="W484" s="135" t="s">
        <v>605</v>
      </c>
      <c r="AA484" t="str">
        <f>IFERROR(VLOOKUP(A484,'Capacity of production'!A:C,3,0),"")</f>
        <v/>
      </c>
    </row>
    <row r="485" spans="1:27" ht="15.75" thickBot="1">
      <c r="B485" s="67" t="s">
        <v>166</v>
      </c>
      <c r="C485" s="74" t="s">
        <v>350</v>
      </c>
      <c r="D485" s="58">
        <v>20</v>
      </c>
      <c r="E485" s="31">
        <f t="shared" si="69"/>
        <v>26.400000000000002</v>
      </c>
      <c r="F485" s="293"/>
      <c r="G485" s="36"/>
      <c r="H485" s="36" t="str">
        <f>VLOOKUP(B485,'Full Item list'!A:B,2,0)</f>
        <v>FL-010</v>
      </c>
      <c r="I485" s="36"/>
      <c r="J485" s="32" t="s">
        <v>639</v>
      </c>
      <c r="K485" s="36" t="str">
        <f>VLOOKUP(H485,'Full Item list'!B:O,14,0)</f>
        <v>PCS</v>
      </c>
      <c r="L485" s="36">
        <v>5</v>
      </c>
      <c r="M485">
        <f t="shared" si="71"/>
        <v>6.6000000000000003E-2</v>
      </c>
      <c r="N485" t="e">
        <f>VLOOKUP(B485,#REF!,9,0)</f>
        <v>#REF!</v>
      </c>
      <c r="O485">
        <f>IFERROR(IF(J485="KG",VLOOKUP(H485,'Cost Price New'!D:E,2,0),VLOOKUP('BOMs setting'!H485,'Cost Price New'!D:I,6,0)),VLOOKUP(H485,A:R,18,0))</f>
        <v>1.32</v>
      </c>
      <c r="P485">
        <v>20</v>
      </c>
      <c r="Q485">
        <v>1099.8</v>
      </c>
      <c r="V485" t="s">
        <v>603</v>
      </c>
      <c r="W485" s="135" t="s">
        <v>604</v>
      </c>
      <c r="AA485" t="str">
        <f>IFERROR(VLOOKUP(A485,'Capacity of production'!A:C,3,0),"")</f>
        <v/>
      </c>
    </row>
    <row r="486" spans="1:27" ht="15.75" thickBot="1">
      <c r="B486" s="67" t="s">
        <v>329</v>
      </c>
      <c r="C486" s="86" t="s">
        <v>194</v>
      </c>
      <c r="D486" s="58">
        <v>25</v>
      </c>
      <c r="E486" s="31">
        <f t="shared" si="69"/>
        <v>73.25</v>
      </c>
      <c r="F486" s="293"/>
      <c r="G486" s="36"/>
      <c r="H486" s="36" t="str">
        <f>VLOOKUP(B486,'Full Item list'!A:B,2,0)</f>
        <v>PG-470</v>
      </c>
      <c r="I486" s="36"/>
      <c r="J486" s="32" t="str">
        <f t="shared" si="70"/>
        <v>KG</v>
      </c>
      <c r="K486" s="36" t="str">
        <f>VLOOKUP(H486,'Full Item list'!B:O,14,0)</f>
        <v>KG</v>
      </c>
      <c r="L486" s="36">
        <v>5</v>
      </c>
      <c r="M486">
        <f t="shared" si="71"/>
        <v>0.11720000000000001</v>
      </c>
      <c r="N486" t="e">
        <f>VLOOKUP(B486,#REF!,9,0)</f>
        <v>#REF!</v>
      </c>
      <c r="O486">
        <f>IFERROR(IF(J486="KG",VLOOKUP(H486,'Cost Price New'!D:E,2,0),VLOOKUP('BOMs setting'!H486,'Cost Price New'!D:I,6,0)),VLOOKUP(H486,A:R,18,0))</f>
        <v>2.93</v>
      </c>
      <c r="P486">
        <v>25</v>
      </c>
      <c r="Q486">
        <v>1099.8</v>
      </c>
      <c r="V486" t="s">
        <v>603</v>
      </c>
      <c r="W486" s="135" t="s">
        <v>604</v>
      </c>
      <c r="AA486" t="str">
        <f>IFERROR(VLOOKUP(A486,'Capacity of production'!A:C,3,0),"")</f>
        <v/>
      </c>
    </row>
    <row r="487" spans="1:27" ht="15.75" thickBot="1">
      <c r="B487" s="75" t="s">
        <v>246</v>
      </c>
      <c r="C487" s="79" t="s">
        <v>247</v>
      </c>
      <c r="D487" s="39">
        <v>44.8</v>
      </c>
      <c r="E487" s="31">
        <f t="shared" ca="1" si="69"/>
        <v>69.679903503325946</v>
      </c>
      <c r="F487" s="292"/>
      <c r="G487" s="36"/>
      <c r="H487" s="36" t="str">
        <f>VLOOKUP(B487,'Full Item list'!A:B,2,0)</f>
        <v>SPMO006</v>
      </c>
      <c r="I487" s="36"/>
      <c r="J487" s="32" t="str">
        <f t="shared" si="70"/>
        <v>KG</v>
      </c>
      <c r="K487" s="36" t="str">
        <f>VLOOKUP(H487,'Full Item list'!B:O,14,0)</f>
        <v>KG</v>
      </c>
      <c r="L487" s="36">
        <v>0.1</v>
      </c>
      <c r="M487">
        <f t="shared" ca="1" si="71"/>
        <v>7.7767749445676283E-3</v>
      </c>
      <c r="N487" t="e">
        <f>VLOOKUP(B487,#REF!,9,0)</f>
        <v>#REF!</v>
      </c>
      <c r="O487">
        <f ca="1">IFERROR(IF(J487="KG",VLOOKUP(H487,'Cost Price New'!D:E,2,0),VLOOKUP('BOMs setting'!H487,'Cost Price New'!D:I,6,0)),VLOOKUP(H487,A:R,18,0))</f>
        <v>1.5553549889135256</v>
      </c>
      <c r="P487">
        <v>200</v>
      </c>
      <c r="Q487">
        <v>1099.8</v>
      </c>
      <c r="V487" t="s">
        <v>603</v>
      </c>
      <c r="W487" s="135" t="s">
        <v>604</v>
      </c>
      <c r="AA487" t="str">
        <f>IFERROR(VLOOKUP(A487,'Capacity of production'!A:C,3,0),"")</f>
        <v/>
      </c>
    </row>
    <row r="488" spans="1:27" ht="15.75" thickBot="1">
      <c r="B488" s="41" t="s">
        <v>310</v>
      </c>
      <c r="C488" s="42" t="s">
        <v>312</v>
      </c>
      <c r="D488" s="284">
        <f>G478/AA473</f>
        <v>1.0997999999999999</v>
      </c>
      <c r="E488" s="31">
        <f t="shared" si="69"/>
        <v>540.0746511823088</v>
      </c>
      <c r="F488" s="45" t="s">
        <v>782</v>
      </c>
      <c r="G488" s="32"/>
      <c r="H488" s="32" t="str">
        <f>VLOOKUP(B488,'Full Item list'!A:B,2,0)</f>
        <v>LAB/OH-Mortar</v>
      </c>
      <c r="I488" s="32"/>
      <c r="J488" s="32" t="str">
        <f t="shared" si="70"/>
        <v>H</v>
      </c>
      <c r="K488" s="32" t="str">
        <f>VLOOKUP(H488,'Full Item list'!B:O,14,0)</f>
        <v>H</v>
      </c>
      <c r="L488" s="32"/>
      <c r="O488">
        <f>IFERROR(IF(J488="KG",VLOOKUP(H488,'Cost Price New'!D:E,2,0),VLOOKUP('BOMs setting'!H488,'Cost Price New'!D:I,6,0)),VLOOKUP(H488,A:R,18,0))</f>
        <v>491.06624039126103</v>
      </c>
      <c r="V488" t="s">
        <v>603</v>
      </c>
      <c r="W488" s="135" t="s">
        <v>604</v>
      </c>
      <c r="AA488" t="str">
        <f>IFERROR(VLOOKUP(A488,'Capacity of production'!A:C,3,0),"")</f>
        <v/>
      </c>
    </row>
    <row r="489" spans="1:27" ht="15">
      <c r="B489" s="54"/>
      <c r="C489" s="55"/>
      <c r="D489" s="56"/>
      <c r="E489" s="56" t="s">
        <v>466</v>
      </c>
      <c r="F489" s="56">
        <f ca="1">SUM(E480:E488)</f>
        <v>767.70455468563478</v>
      </c>
      <c r="G489" s="55"/>
      <c r="H489" s="55"/>
      <c r="I489" s="55"/>
      <c r="J489" s="55"/>
      <c r="K489" s="55"/>
      <c r="L489" s="55"/>
      <c r="V489" t="s">
        <v>603</v>
      </c>
      <c r="W489" s="135" t="s">
        <v>604</v>
      </c>
      <c r="AA489" t="str">
        <f>IFERROR(VLOOKUP(A489,'Capacity of production'!A:C,3,0),"")</f>
        <v/>
      </c>
    </row>
    <row r="490" spans="1:27" ht="15.75" thickBot="1">
      <c r="B490" s="2"/>
      <c r="C490" s="55"/>
      <c r="D490" s="55"/>
      <c r="E490" s="56"/>
      <c r="F490" s="55"/>
      <c r="G490" s="55"/>
      <c r="H490" s="55"/>
      <c r="I490" s="55"/>
      <c r="J490" s="55"/>
      <c r="K490" s="55"/>
      <c r="L490" s="55"/>
      <c r="V490" t="s">
        <v>603</v>
      </c>
      <c r="W490" s="135" t="s">
        <v>604</v>
      </c>
      <c r="AA490" t="str">
        <f>IFERROR(VLOOKUP(A490,'Capacity of production'!A:C,3,0),"")</f>
        <v/>
      </c>
    </row>
    <row r="491" spans="1:27" ht="16.5" thickBot="1">
      <c r="A491" t="str">
        <f>B491</f>
        <v>IM080F</v>
      </c>
      <c r="B491" s="66" t="s">
        <v>594</v>
      </c>
      <c r="C491" s="288" t="str">
        <f>VLOOKUP(A491,'All products'!A:B,2,0)</f>
        <v>TECNOIMPER-FLEX (A+B 28.4KG)</v>
      </c>
      <c r="D491" s="288"/>
      <c r="E491" s="288"/>
      <c r="F491" s="289"/>
      <c r="G491" s="21">
        <v>1</v>
      </c>
      <c r="H491" s="21" t="str">
        <f>VLOOKUP(B491,'Full Item list'!A:B,2,0)</f>
        <v>IM080F</v>
      </c>
      <c r="I491" s="21">
        <f>VLOOKUP(H491,'Full Item list'!B:J,9,0)</f>
        <v>28.4</v>
      </c>
      <c r="J491" s="21"/>
      <c r="K491" s="21" t="str">
        <f>VLOOKUP(H491,'Full Item list'!B:O,14,0)</f>
        <v>PCS</v>
      </c>
      <c r="L491" s="21"/>
      <c r="M491">
        <f>O491/P491</f>
        <v>0</v>
      </c>
      <c r="N491" t="e">
        <f>VLOOKUP(B491,#REF!,9,0)</f>
        <v>#REF!</v>
      </c>
      <c r="P491">
        <v>25</v>
      </c>
      <c r="Q491">
        <f>SUM(D493:D494)</f>
        <v>28.4</v>
      </c>
      <c r="R491">
        <f ca="1">OFFSET(F491,MATCH("Total Cost:",E491:E615,0)-1,0,1,1)/G491</f>
        <v>41.886032019563046</v>
      </c>
      <c r="U491" t="str">
        <f>VLOOKUP(H491,'Full Item list'!B:D,3,0)</f>
        <v>Product</v>
      </c>
      <c r="V491" t="s">
        <v>603</v>
      </c>
      <c r="W491" s="135" t="s">
        <v>604</v>
      </c>
      <c r="X491" t="s">
        <v>633</v>
      </c>
      <c r="AA491">
        <f>IFERROR(VLOOKUP(A491,'Capacity of production'!A:C,3,0),"")</f>
        <v>568</v>
      </c>
    </row>
    <row r="492" spans="1:27" ht="15" thickBot="1">
      <c r="B492" s="23" t="s">
        <v>319</v>
      </c>
      <c r="C492" s="24" t="s">
        <v>320</v>
      </c>
      <c r="D492" s="25" t="s">
        <v>321</v>
      </c>
      <c r="E492" s="25" t="s">
        <v>322</v>
      </c>
      <c r="F492" s="26" t="s">
        <v>323</v>
      </c>
      <c r="G492" s="27"/>
      <c r="H492" s="27"/>
      <c r="I492" s="27"/>
      <c r="J492" s="27"/>
      <c r="K492" s="27"/>
      <c r="L492" s="27"/>
      <c r="V492" t="s">
        <v>603</v>
      </c>
      <c r="W492" s="135" t="s">
        <v>604</v>
      </c>
      <c r="AA492" t="str">
        <f>IFERROR(VLOOKUP(A492,'Capacity of production'!A:C,3,0),"")</f>
        <v/>
      </c>
    </row>
    <row r="493" spans="1:27" ht="15.75" thickBot="1">
      <c r="B493" s="20" t="s">
        <v>595</v>
      </c>
      <c r="C493" s="55" t="str">
        <f>VLOOKUP(B493,'All products'!A:B,2,0)</f>
        <v>TECNOIMPER-FLEX (A+B KG)</v>
      </c>
      <c r="D493" s="43">
        <v>28.4</v>
      </c>
      <c r="E493" s="31">
        <f ca="1">O493*D493</f>
        <v>41.886032019563046</v>
      </c>
      <c r="F493" s="45"/>
      <c r="G493" s="32"/>
      <c r="H493" s="32" t="str">
        <f>VLOOKUP(B493,'Full Item list'!A:B,2,0)</f>
        <v>IM080F-1</v>
      </c>
      <c r="I493" s="32"/>
      <c r="J493" s="32" t="str">
        <f>K493</f>
        <v>KG</v>
      </c>
      <c r="K493" s="32" t="str">
        <f>VLOOKUP(H493,'Full Item list'!B:O,14,0)</f>
        <v>KG</v>
      </c>
      <c r="L493" s="32"/>
      <c r="M493">
        <f ca="1">O493/P493</f>
        <v>5.899441129515922E-2</v>
      </c>
      <c r="N493" t="e">
        <f>VLOOKUP(B493,#REF!,9,0)</f>
        <v>#REF!</v>
      </c>
      <c r="O493">
        <f ca="1">IFERROR(IF(J493="KG",VLOOKUP(H493,'Cost Price New'!D:E,2,0),VLOOKUP('BOMs setting'!H493,'Cost Price New'!D:I,6,0)),VLOOKUP(H493,A:R,18,0))</f>
        <v>1.4748602823789805</v>
      </c>
      <c r="P493">
        <v>25</v>
      </c>
      <c r="Q493">
        <v>1</v>
      </c>
      <c r="V493" t="s">
        <v>603</v>
      </c>
      <c r="W493" s="135" t="s">
        <v>604</v>
      </c>
      <c r="AA493" t="str">
        <f>IFERROR(VLOOKUP(A493,'Capacity of production'!A:C,3,0),"")</f>
        <v/>
      </c>
    </row>
    <row r="494" spans="1:27" ht="15">
      <c r="B494" s="54"/>
      <c r="C494" s="55"/>
      <c r="D494" s="56"/>
      <c r="E494" s="56" t="s">
        <v>466</v>
      </c>
      <c r="F494" s="56">
        <f ca="1">E493</f>
        <v>41.886032019563046</v>
      </c>
      <c r="G494" s="55"/>
      <c r="H494" s="55"/>
      <c r="I494" s="55"/>
      <c r="J494" s="55"/>
      <c r="K494" s="55"/>
      <c r="L494" s="55"/>
      <c r="V494" t="s">
        <v>603</v>
      </c>
      <c r="W494" s="135" t="s">
        <v>604</v>
      </c>
      <c r="AA494" t="str">
        <f>IFERROR(VLOOKUP(A494,'Capacity of production'!A:C,3,0),"")</f>
        <v/>
      </c>
    </row>
    <row r="495" spans="1:27" ht="15.75" thickBot="1">
      <c r="B495" s="2"/>
      <c r="C495" s="55"/>
      <c r="D495" s="55"/>
      <c r="E495" s="56"/>
      <c r="F495" s="55"/>
      <c r="G495" s="55"/>
      <c r="H495" s="55"/>
      <c r="I495" s="55"/>
      <c r="J495" s="55"/>
      <c r="K495" s="55"/>
      <c r="L495" s="55"/>
      <c r="V495" t="s">
        <v>603</v>
      </c>
      <c r="W495" s="135" t="s">
        <v>604</v>
      </c>
      <c r="AA495" t="str">
        <f>IFERROR(VLOOKUP(A495,'Capacity of production'!A:C,3,0),"")</f>
        <v/>
      </c>
    </row>
    <row r="496" spans="1:27" ht="16.5" thickBot="1">
      <c r="A496" t="str">
        <f>B496</f>
        <v>IM080F-1</v>
      </c>
      <c r="B496" s="66" t="s">
        <v>595</v>
      </c>
      <c r="C496" s="288" t="str">
        <f>VLOOKUP(A496,'All products'!A:B,2,0)</f>
        <v>TECNOIMPER-FLEX (A+B KG)</v>
      </c>
      <c r="D496" s="288"/>
      <c r="E496" s="288"/>
      <c r="F496" s="289"/>
      <c r="G496" s="121">
        <f>Q496</f>
        <v>28.4</v>
      </c>
      <c r="H496" s="21" t="str">
        <f>VLOOKUP(B496,'Full Item list'!A:B,2,0)</f>
        <v>IM080F-1</v>
      </c>
      <c r="I496" s="21">
        <f>VLOOKUP(H496,'Full Item list'!B:J,9,0)</f>
        <v>1</v>
      </c>
      <c r="J496" s="21"/>
      <c r="K496" s="21" t="str">
        <f>VLOOKUP(H496,'Full Item list'!B:O,14,0)</f>
        <v>KG</v>
      </c>
      <c r="L496" s="21"/>
      <c r="M496">
        <f>O496/P496</f>
        <v>0</v>
      </c>
      <c r="N496" t="e">
        <f>VLOOKUP(B496,#REF!,9,0)</f>
        <v>#REF!</v>
      </c>
      <c r="P496">
        <v>28.4</v>
      </c>
      <c r="Q496" s="130">
        <f>SUM(D498:D505)</f>
        <v>28.4</v>
      </c>
      <c r="R496">
        <f ca="1">OFFSET(F496,MATCH("Total Cost:",E496:E551,0)-1,0,1,1)/G496</f>
        <v>1.4748602823789805</v>
      </c>
      <c r="U496" t="str">
        <f>VLOOKUP(H496,'Full Item list'!B:D,3,0)</f>
        <v>Component</v>
      </c>
      <c r="V496" t="s">
        <v>603</v>
      </c>
      <c r="W496" s="135" t="s">
        <v>604</v>
      </c>
      <c r="X496" t="s">
        <v>634</v>
      </c>
      <c r="AA496" t="str">
        <f>IFERROR(VLOOKUP(A496,'Capacity of production'!A:C,3,0),"")</f>
        <v/>
      </c>
    </row>
    <row r="497" spans="1:27" ht="15" thickBot="1">
      <c r="B497" s="23" t="s">
        <v>319</v>
      </c>
      <c r="C497" s="69" t="s">
        <v>320</v>
      </c>
      <c r="D497" s="70" t="s">
        <v>321</v>
      </c>
      <c r="E497" s="70" t="s">
        <v>322</v>
      </c>
      <c r="F497" s="26" t="s">
        <v>323</v>
      </c>
      <c r="G497" s="27"/>
      <c r="H497" s="27"/>
      <c r="I497" s="27"/>
      <c r="J497" s="27"/>
      <c r="K497" s="27"/>
      <c r="L497" s="27"/>
      <c r="V497" t="s">
        <v>603</v>
      </c>
      <c r="W497" s="135" t="s">
        <v>604</v>
      </c>
      <c r="AA497" t="str">
        <f>IFERROR(VLOOKUP(A497,'Capacity of production'!A:C,3,0),"")</f>
        <v/>
      </c>
    </row>
    <row r="498" spans="1:27" ht="15.75" thickBot="1">
      <c r="B498" s="80" t="s">
        <v>348</v>
      </c>
      <c r="C498" s="89" t="s">
        <v>98</v>
      </c>
      <c r="D498" s="90">
        <v>9.1999999999999993</v>
      </c>
      <c r="E498" s="31">
        <f t="shared" ref="E498:E506" si="72">O498*D498</f>
        <v>2.1261199999999998</v>
      </c>
      <c r="F498" s="285"/>
      <c r="G498" s="32"/>
      <c r="H498" s="32" t="str">
        <f>VLOOKUP(B498,'Full Item list'!A:B,2,0)</f>
        <v>CE-070</v>
      </c>
      <c r="I498" s="32"/>
      <c r="J498" s="32" t="str">
        <f t="shared" ref="J498:J506" si="73">K498</f>
        <v>KG</v>
      </c>
      <c r="K498" s="32" t="str">
        <f>VLOOKUP(H498,'Full Item list'!B:O,14,0)</f>
        <v>KG</v>
      </c>
      <c r="L498" s="32"/>
      <c r="M498" s="22" t="e">
        <f>O498/P498</f>
        <v>#DIV/0!</v>
      </c>
      <c r="N498" s="22" t="e">
        <f>VLOOKUP(B498,#REF!,9,0)</f>
        <v>#REF!</v>
      </c>
      <c r="O498">
        <f>IFERROR(IF(J498="KG",VLOOKUP(H498,'Cost Price New'!D:E,2,0),VLOOKUP('BOMs setting'!H498,'Cost Price New'!D:I,6,0)),VLOOKUP(H498,A:R,18,0))</f>
        <v>0.2311</v>
      </c>
      <c r="P498" s="22"/>
      <c r="Q498">
        <v>28.4</v>
      </c>
      <c r="S498">
        <f>E498/G$496</f>
        <v>7.4863380281690137E-2</v>
      </c>
      <c r="V498" t="s">
        <v>602</v>
      </c>
      <c r="W498" s="135" t="s">
        <v>605</v>
      </c>
      <c r="AA498" t="str">
        <f>IFERROR(VLOOKUP(A498,'Capacity of production'!A:C,3,0),"")</f>
        <v/>
      </c>
    </row>
    <row r="499" spans="1:27" ht="15.75" thickBot="1">
      <c r="B499" s="67" t="s">
        <v>336</v>
      </c>
      <c r="C499" s="78" t="s">
        <v>115</v>
      </c>
      <c r="D499" s="91">
        <v>7</v>
      </c>
      <c r="E499" s="31">
        <f t="shared" si="72"/>
        <v>0.40250000000000002</v>
      </c>
      <c r="F499" s="286"/>
      <c r="G499" s="36"/>
      <c r="H499" s="36" t="str">
        <f>VLOOKUP(B499,'Full Item list'!A:B,2,0)</f>
        <v>FS-540</v>
      </c>
      <c r="I499" s="36"/>
      <c r="J499" s="32" t="str">
        <f t="shared" si="73"/>
        <v>KG</v>
      </c>
      <c r="K499" s="36" t="str">
        <f>VLOOKUP(H499,'Full Item list'!B:O,14,0)</f>
        <v>KG</v>
      </c>
      <c r="L499" s="36"/>
      <c r="M499" s="22" t="e">
        <f>O499/P499</f>
        <v>#DIV/0!</v>
      </c>
      <c r="N499" s="22" t="e">
        <f>VLOOKUP(B499,#REF!,9,0)</f>
        <v>#REF!</v>
      </c>
      <c r="O499">
        <f>IFERROR(IF(J499="KG",VLOOKUP(H499,'Cost Price New'!D:E,2,0),VLOOKUP('BOMs setting'!H499,'Cost Price New'!D:I,6,0)),VLOOKUP(H499,A:R,18,0))</f>
        <v>5.7500000000000002E-2</v>
      </c>
      <c r="P499" s="22"/>
      <c r="Q499">
        <v>28.4</v>
      </c>
      <c r="S499">
        <f t="shared" ref="S499:S506" si="74">E499/G$496</f>
        <v>1.4172535211267608E-2</v>
      </c>
      <c r="V499" t="s">
        <v>603</v>
      </c>
      <c r="W499" s="135" t="s">
        <v>604</v>
      </c>
      <c r="AA499" t="str">
        <f>IFERROR(VLOOKUP(A499,'Capacity of production'!A:C,3,0),"")</f>
        <v/>
      </c>
    </row>
    <row r="500" spans="1:27" ht="15.75" thickBot="1">
      <c r="B500" s="67" t="s">
        <v>338</v>
      </c>
      <c r="C500" s="78" t="s">
        <v>117</v>
      </c>
      <c r="D500" s="91">
        <v>2.2999999999999998</v>
      </c>
      <c r="E500" s="31">
        <f t="shared" si="72"/>
        <v>8.0500000000000002E-2</v>
      </c>
      <c r="F500" s="286"/>
      <c r="G500" s="36"/>
      <c r="H500" s="36" t="str">
        <f>VLOOKUP(B500,'Full Item list'!A:B,2,0)</f>
        <v>FS-550</v>
      </c>
      <c r="I500" s="36"/>
      <c r="J500" s="32" t="str">
        <f t="shared" si="73"/>
        <v>KG</v>
      </c>
      <c r="K500" s="36" t="str">
        <f>VLOOKUP(H500,'Full Item list'!B:O,14,0)</f>
        <v>KG</v>
      </c>
      <c r="L500" s="36"/>
      <c r="M500" s="22" t="e">
        <f>O500/P500</f>
        <v>#DIV/0!</v>
      </c>
      <c r="N500" s="22" t="e">
        <f>VLOOKUP(B500,#REF!,9,0)</f>
        <v>#REF!</v>
      </c>
      <c r="O500">
        <f>IFERROR(IF(J500="KG",VLOOKUP(H500,'Cost Price New'!D:E,2,0),VLOOKUP('BOMs setting'!H500,'Cost Price New'!D:I,6,0)),VLOOKUP(H500,A:R,18,0))</f>
        <v>3.5000000000000003E-2</v>
      </c>
      <c r="P500" s="22"/>
      <c r="Q500">
        <v>28.4</v>
      </c>
      <c r="S500">
        <f t="shared" si="74"/>
        <v>2.8345070422535214E-3</v>
      </c>
      <c r="V500" t="s">
        <v>602</v>
      </c>
      <c r="W500" s="135" t="s">
        <v>605</v>
      </c>
      <c r="AA500" t="str">
        <f>IFERROR(VLOOKUP(A500,'Capacity of production'!A:C,3,0),"")</f>
        <v/>
      </c>
    </row>
    <row r="501" spans="1:27" ht="15.75" thickBot="1">
      <c r="B501" s="67" t="s">
        <v>331</v>
      </c>
      <c r="C501" s="78" t="s">
        <v>279</v>
      </c>
      <c r="D501" s="91">
        <v>1</v>
      </c>
      <c r="E501" s="31">
        <f t="shared" si="72"/>
        <v>9.4500000000000001E-2</v>
      </c>
      <c r="F501" s="286"/>
      <c r="G501" s="36"/>
      <c r="H501" s="36" t="str">
        <f>VLOOKUP(B501,'Full Item list'!A:B,2,0)</f>
        <v>TS-440</v>
      </c>
      <c r="I501" s="36"/>
      <c r="J501" s="32" t="str">
        <f t="shared" si="73"/>
        <v>KG</v>
      </c>
      <c r="K501" s="36" t="str">
        <f>VLOOKUP(H501,'Full Item list'!B:O,14,0)</f>
        <v>KG</v>
      </c>
      <c r="L501" s="36"/>
      <c r="M501">
        <f>O501/P501</f>
        <v>3.7799999999999999E-3</v>
      </c>
      <c r="N501" t="e">
        <f>VLOOKUP(B501,#REF!,9,0)</f>
        <v>#REF!</v>
      </c>
      <c r="O501">
        <f>IFERROR(IF(J501="KG",VLOOKUP(H501,'Cost Price New'!D:E,2,0),VLOOKUP('BOMs setting'!H501,'Cost Price New'!D:I,6,0)),VLOOKUP(H501,A:R,18,0))</f>
        <v>9.4500000000000001E-2</v>
      </c>
      <c r="P501">
        <v>25</v>
      </c>
      <c r="Q501">
        <v>28.4</v>
      </c>
      <c r="S501">
        <f t="shared" si="74"/>
        <v>3.3274647887323945E-3</v>
      </c>
      <c r="V501" t="s">
        <v>603</v>
      </c>
      <c r="W501" s="135" t="s">
        <v>604</v>
      </c>
      <c r="AA501" t="str">
        <f>IFERROR(VLOOKUP(A501,'Capacity of production'!A:C,3,0),"")</f>
        <v/>
      </c>
    </row>
    <row r="502" spans="1:27" ht="15.75" thickBot="1">
      <c r="B502" s="67" t="s">
        <v>356</v>
      </c>
      <c r="C502" s="78" t="s">
        <v>253</v>
      </c>
      <c r="D502" s="91">
        <v>0.1</v>
      </c>
      <c r="E502" s="31">
        <f t="shared" si="72"/>
        <v>0.31000000000000005</v>
      </c>
      <c r="F502" s="286"/>
      <c r="G502" s="36"/>
      <c r="H502" s="36" t="str">
        <f>VLOOKUP(B502,'Full Item list'!A:B,2,0)</f>
        <v>SS-250</v>
      </c>
      <c r="I502" s="36"/>
      <c r="J502" s="32" t="str">
        <f t="shared" si="73"/>
        <v>KG</v>
      </c>
      <c r="K502" s="36" t="str">
        <f>VLOOKUP(H502,'Full Item list'!B:O,14,0)</f>
        <v>KG</v>
      </c>
      <c r="L502" s="36"/>
      <c r="M502">
        <f>O502/P502</f>
        <v>0.124</v>
      </c>
      <c r="N502" t="e">
        <f>VLOOKUP(B502,#REF!,9,0)</f>
        <v>#REF!</v>
      </c>
      <c r="O502">
        <f>IFERROR(IF(J502="KG",VLOOKUP(H502,'Cost Price New'!D:E,2,0),VLOOKUP('BOMs setting'!H502,'Cost Price New'!D:I,6,0)),VLOOKUP(H502,A:R,18,0))</f>
        <v>3.1</v>
      </c>
      <c r="P502">
        <v>25</v>
      </c>
      <c r="Q502">
        <v>28.4</v>
      </c>
      <c r="S502">
        <f t="shared" si="74"/>
        <v>1.0915492957746482E-2</v>
      </c>
      <c r="V502" t="s">
        <v>603</v>
      </c>
      <c r="W502" s="135" t="s">
        <v>604</v>
      </c>
      <c r="AA502" t="str">
        <f>IFERROR(VLOOKUP(A502,'Capacity of production'!A:C,3,0),"")</f>
        <v/>
      </c>
    </row>
    <row r="503" spans="1:27" ht="15.75" thickBot="1">
      <c r="B503" s="67" t="s">
        <v>333</v>
      </c>
      <c r="C503" s="78" t="s">
        <v>127</v>
      </c>
      <c r="D503" s="91">
        <v>0.4</v>
      </c>
      <c r="E503" s="31">
        <f t="shared" si="72"/>
        <v>0.18080000000000002</v>
      </c>
      <c r="F503" s="286"/>
      <c r="G503" s="36"/>
      <c r="H503" s="36" t="str">
        <f>VLOOKUP(B503,'Full Item list'!A:B,2,0)</f>
        <v>FT-680</v>
      </c>
      <c r="I503" s="36"/>
      <c r="J503" s="32" t="str">
        <f t="shared" si="73"/>
        <v>KG</v>
      </c>
      <c r="K503" s="36" t="str">
        <f>VLOOKUP(H503,'Full Item list'!B:O,14,0)</f>
        <v>KG</v>
      </c>
      <c r="L503" s="36"/>
      <c r="M503">
        <f t="shared" ref="M503:M563" si="75">O503/P503</f>
        <v>1.8079999999999999E-2</v>
      </c>
      <c r="N503" t="e">
        <f>VLOOKUP(B503,#REF!,9,0)</f>
        <v>#REF!</v>
      </c>
      <c r="O503">
        <f>IFERROR(IF(J503="KG",VLOOKUP(H503,'Cost Price New'!D:E,2,0),VLOOKUP('BOMs setting'!H503,'Cost Price New'!D:I,6,0)),VLOOKUP(H503,A:R,18,0))</f>
        <v>0.45200000000000001</v>
      </c>
      <c r="P503">
        <v>25</v>
      </c>
      <c r="Q503">
        <v>28.4</v>
      </c>
      <c r="S503">
        <f t="shared" si="74"/>
        <v>6.3661971830985924E-3</v>
      </c>
      <c r="V503" t="s">
        <v>603</v>
      </c>
      <c r="W503" s="135" t="s">
        <v>604</v>
      </c>
      <c r="AA503" t="str">
        <f>IFERROR(VLOOKUP(A503,'Capacity of production'!A:C,3,0),"")</f>
        <v/>
      </c>
    </row>
    <row r="504" spans="1:27" ht="15.75" thickBot="1">
      <c r="B504" s="67" t="s">
        <v>305</v>
      </c>
      <c r="C504" s="88" t="s">
        <v>306</v>
      </c>
      <c r="D504" s="92">
        <v>1</v>
      </c>
      <c r="E504" s="31">
        <f t="shared" si="72"/>
        <v>4.3E-3</v>
      </c>
      <c r="F504" s="286"/>
      <c r="G504" s="36"/>
      <c r="H504" s="36" t="str">
        <f>VLOOKUP(B504,'Full Item list'!A:B,2,0)</f>
        <v>SE-020</v>
      </c>
      <c r="I504" s="36"/>
      <c r="J504" s="32" t="str">
        <f t="shared" si="73"/>
        <v>KG</v>
      </c>
      <c r="K504" s="36" t="str">
        <f>VLOOKUP(H504,'Full Item list'!B:O,14,0)</f>
        <v>KG</v>
      </c>
      <c r="L504" s="36"/>
      <c r="M504" s="22" t="e">
        <f t="shared" si="75"/>
        <v>#DIV/0!</v>
      </c>
      <c r="N504" s="22" t="e">
        <f>VLOOKUP(B504,#REF!,9,0)</f>
        <v>#REF!</v>
      </c>
      <c r="O504">
        <f>IFERROR(IF(J504="KG",VLOOKUP(H504,'Cost Price New'!D:E,2,0),VLOOKUP('BOMs setting'!H504,'Cost Price New'!D:I,6,0)),VLOOKUP(H504,A:R,18,0))</f>
        <v>4.3E-3</v>
      </c>
      <c r="P504" s="22"/>
      <c r="Q504">
        <v>28.4</v>
      </c>
      <c r="S504">
        <f t="shared" si="74"/>
        <v>1.5140845070422536E-4</v>
      </c>
      <c r="V504" t="s">
        <v>603</v>
      </c>
      <c r="W504" s="135" t="s">
        <v>604</v>
      </c>
      <c r="AA504" t="str">
        <f>IFERROR(VLOOKUP(A504,'Capacity of production'!A:C,3,0),"")</f>
        <v/>
      </c>
    </row>
    <row r="505" spans="1:27" ht="15.75" thickBot="1">
      <c r="B505" s="75" t="s">
        <v>357</v>
      </c>
      <c r="C505" s="79" t="s">
        <v>138</v>
      </c>
      <c r="D505" s="93">
        <v>7.4</v>
      </c>
      <c r="E505" s="31">
        <f t="shared" si="72"/>
        <v>14.134</v>
      </c>
      <c r="F505" s="287"/>
      <c r="G505" s="37"/>
      <c r="H505" s="37" t="str">
        <f>VLOOKUP(B505,'Full Item list'!A:B,2,0)</f>
        <v>MA-130</v>
      </c>
      <c r="I505" s="37"/>
      <c r="J505" s="32" t="str">
        <f t="shared" si="73"/>
        <v>KG</v>
      </c>
      <c r="K505" s="37" t="str">
        <f>VLOOKUP(H505,'Full Item list'!B:O,14,0)</f>
        <v>KG</v>
      </c>
      <c r="L505" s="37"/>
      <c r="M505" s="22" t="e">
        <f t="shared" si="75"/>
        <v>#DIV/0!</v>
      </c>
      <c r="N505" s="22" t="e">
        <f>VLOOKUP(B505,#REF!,9,0)</f>
        <v>#REF!</v>
      </c>
      <c r="O505">
        <f>IFERROR(IF(J505="KG",VLOOKUP(H505,'Cost Price New'!D:E,2,0),VLOOKUP('BOMs setting'!H505,'Cost Price New'!D:I,6,0)),VLOOKUP(H505,A:R,18,0))</f>
        <v>1.91</v>
      </c>
      <c r="P505" s="22"/>
      <c r="Q505">
        <v>28.4</v>
      </c>
      <c r="S505">
        <f t="shared" si="74"/>
        <v>0.49767605633802819</v>
      </c>
      <c r="V505" t="s">
        <v>603</v>
      </c>
      <c r="W505" s="135" t="s">
        <v>604</v>
      </c>
      <c r="AA505" t="str">
        <f>IFERROR(VLOOKUP(A505,'Capacity of production'!A:C,3,0),"")</f>
        <v/>
      </c>
    </row>
    <row r="506" spans="1:27" ht="15.75" thickBot="1">
      <c r="B506" s="41" t="s">
        <v>310</v>
      </c>
      <c r="C506" s="42" t="s">
        <v>312</v>
      </c>
      <c r="D506" s="284">
        <f>G496/AA491</f>
        <v>4.9999999999999996E-2</v>
      </c>
      <c r="E506" s="31">
        <f t="shared" si="72"/>
        <v>24.553312019563048</v>
      </c>
      <c r="F506" s="45" t="s">
        <v>782</v>
      </c>
      <c r="G506" s="32"/>
      <c r="H506" s="32" t="str">
        <f>VLOOKUP(B506,'Full Item list'!A:B,2,0)</f>
        <v>LAB/OH-Mortar</v>
      </c>
      <c r="I506" s="32"/>
      <c r="J506" s="32" t="str">
        <f t="shared" si="73"/>
        <v>H</v>
      </c>
      <c r="K506" s="32" t="str">
        <f>VLOOKUP(H506,'Full Item list'!B:O,14,0)</f>
        <v>H</v>
      </c>
      <c r="L506" s="32"/>
      <c r="O506">
        <f>IFERROR(IF(J506="KG",VLOOKUP(H506,'Cost Price New'!D:E,2,0),VLOOKUP('BOMs setting'!H506,'Cost Price New'!D:I,6,0)),VLOOKUP(H506,A:R,18,0))</f>
        <v>491.06624039126103</v>
      </c>
      <c r="S506">
        <f t="shared" si="74"/>
        <v>0.86455324012545953</v>
      </c>
      <c r="V506" t="s">
        <v>603</v>
      </c>
      <c r="W506" s="135" t="s">
        <v>604</v>
      </c>
      <c r="AA506" t="str">
        <f>IFERROR(VLOOKUP(A506,'Capacity of production'!A:C,3,0),"")</f>
        <v/>
      </c>
    </row>
    <row r="507" spans="1:27" ht="15">
      <c r="B507" s="54"/>
      <c r="C507" s="55"/>
      <c r="D507" s="56"/>
      <c r="E507" s="56" t="s">
        <v>466</v>
      </c>
      <c r="F507" s="56">
        <f>SUM(E498:E506)</f>
        <v>41.886032019563046</v>
      </c>
      <c r="G507" s="55"/>
      <c r="H507" s="55"/>
      <c r="I507" s="55"/>
      <c r="J507" s="55"/>
      <c r="K507" s="55"/>
      <c r="L507" s="55"/>
      <c r="V507" t="s">
        <v>603</v>
      </c>
      <c r="W507" s="135" t="s">
        <v>604</v>
      </c>
      <c r="AA507" t="str">
        <f>IFERROR(VLOOKUP(A507,'Capacity of production'!A:C,3,0),"")</f>
        <v/>
      </c>
    </row>
    <row r="508" spans="1:27" ht="15.75" thickBot="1">
      <c r="B508" s="84"/>
      <c r="C508" s="55"/>
      <c r="D508" s="94"/>
      <c r="E508" s="56"/>
      <c r="F508" s="55"/>
      <c r="G508" s="55"/>
      <c r="H508" s="55"/>
      <c r="I508" s="55"/>
      <c r="J508" s="55"/>
      <c r="K508" s="55"/>
      <c r="L508" s="55"/>
      <c r="V508" t="s">
        <v>603</v>
      </c>
      <c r="W508" s="135" t="s">
        <v>604</v>
      </c>
      <c r="AA508" t="str">
        <f>IFERROR(VLOOKUP(A508,'Capacity of production'!A:C,3,0),"")</f>
        <v/>
      </c>
    </row>
    <row r="509" spans="1:27" ht="16.5" thickBot="1">
      <c r="A509" t="str">
        <f>B509</f>
        <v>IM092F</v>
      </c>
      <c r="B509" s="66" t="s">
        <v>598</v>
      </c>
      <c r="C509" s="288" t="str">
        <f>VLOOKUP(A509,'All products'!A:B,2,0)</f>
        <v>TECNOIMPER (25KG)</v>
      </c>
      <c r="D509" s="288"/>
      <c r="E509" s="288"/>
      <c r="F509" s="289"/>
      <c r="G509" s="21">
        <v>1</v>
      </c>
      <c r="H509" s="21" t="str">
        <f>VLOOKUP(B509,'Full Item list'!A:B,2,0)</f>
        <v>IM092F</v>
      </c>
      <c r="I509" s="21">
        <f>VLOOKUP(H509,'Full Item list'!B:J,9,0)</f>
        <v>25</v>
      </c>
      <c r="J509" s="21"/>
      <c r="K509" s="21" t="str">
        <f>VLOOKUP(H509,'Full Item list'!B:O,14,0)</f>
        <v>PCS</v>
      </c>
      <c r="L509" s="21"/>
      <c r="M509">
        <f>O509/P509</f>
        <v>0</v>
      </c>
      <c r="N509" t="e">
        <f>VLOOKUP(B509,#REF!,9,0)</f>
        <v>#REF!</v>
      </c>
      <c r="P509">
        <v>25</v>
      </c>
      <c r="Q509">
        <f>SUM(D511:D512)</f>
        <v>25</v>
      </c>
      <c r="R509">
        <f ca="1">OFFSET(F509,MATCH("Total Cost:",E509:E633,0)-1,0,1,1)/G509</f>
        <v>10.704083992914715</v>
      </c>
      <c r="U509" t="str">
        <f>VLOOKUP(H509,'Full Item list'!B:D,3,0)</f>
        <v>Product</v>
      </c>
      <c r="V509" t="s">
        <v>603</v>
      </c>
      <c r="W509" s="135" t="s">
        <v>604</v>
      </c>
      <c r="X509" t="s">
        <v>633</v>
      </c>
      <c r="AA509">
        <f>IFERROR(VLOOKUP(A509,'Capacity of production'!A:C,3,0),"")</f>
        <v>2000</v>
      </c>
    </row>
    <row r="510" spans="1:27" ht="15" thickBot="1">
      <c r="B510" s="23" t="s">
        <v>319</v>
      </c>
      <c r="C510" s="24" t="s">
        <v>320</v>
      </c>
      <c r="D510" s="25" t="s">
        <v>321</v>
      </c>
      <c r="E510" s="25" t="s">
        <v>322</v>
      </c>
      <c r="F510" s="26" t="s">
        <v>323</v>
      </c>
      <c r="G510" s="27"/>
      <c r="H510" s="27"/>
      <c r="I510" s="27"/>
      <c r="J510" s="27"/>
      <c r="K510" s="27"/>
      <c r="L510" s="27"/>
      <c r="V510" t="s">
        <v>603</v>
      </c>
      <c r="W510" s="135" t="s">
        <v>604</v>
      </c>
      <c r="AA510" t="str">
        <f>IFERROR(VLOOKUP(A510,'Capacity of production'!A:C,3,0),"")</f>
        <v/>
      </c>
    </row>
    <row r="511" spans="1:27" ht="15.75" thickBot="1">
      <c r="B511" s="20" t="s">
        <v>599</v>
      </c>
      <c r="C511" s="55" t="str">
        <f>VLOOKUP(B511,'All products'!A:B,2,0)</f>
        <v>TECNOIMPER (KG)</v>
      </c>
      <c r="D511" s="43">
        <v>25</v>
      </c>
      <c r="E511" s="31">
        <f ca="1">O511*D511</f>
        <v>10.704083992914715</v>
      </c>
      <c r="F511" s="45"/>
      <c r="G511" s="32"/>
      <c r="H511" s="32" t="str">
        <f>VLOOKUP(B511,'Full Item list'!A:B,2,0)</f>
        <v>IM092F-1</v>
      </c>
      <c r="I511" s="32"/>
      <c r="J511" s="32" t="str">
        <f>K511</f>
        <v>KG</v>
      </c>
      <c r="K511" s="32" t="str">
        <f>VLOOKUP(H511,'Full Item list'!B:O,14,0)</f>
        <v>KG</v>
      </c>
      <c r="L511" s="32"/>
      <c r="M511">
        <f ca="1">O511/P511</f>
        <v>1.7126534388663545E-2</v>
      </c>
      <c r="N511" t="e">
        <f>VLOOKUP(B511,#REF!,9,0)</f>
        <v>#REF!</v>
      </c>
      <c r="O511">
        <f ca="1">IFERROR(IF(J511="KG",VLOOKUP(H511,'Cost Price New'!D:E,2,0),VLOOKUP('BOMs setting'!H511,'Cost Price New'!D:I,6,0)),VLOOKUP(H511,A:R,18,0))</f>
        <v>0.42816335971658859</v>
      </c>
      <c r="P511">
        <v>25</v>
      </c>
      <c r="Q511">
        <v>1</v>
      </c>
      <c r="V511" t="s">
        <v>603</v>
      </c>
      <c r="W511" s="135" t="s">
        <v>604</v>
      </c>
      <c r="AA511" t="str">
        <f>IFERROR(VLOOKUP(A511,'Capacity of production'!A:C,3,0),"")</f>
        <v/>
      </c>
    </row>
    <row r="512" spans="1:27" ht="15">
      <c r="B512" s="54"/>
      <c r="C512" s="55"/>
      <c r="D512" s="56"/>
      <c r="E512" s="56" t="s">
        <v>466</v>
      </c>
      <c r="F512" s="56">
        <f ca="1">E511</f>
        <v>10.704083992914715</v>
      </c>
      <c r="G512" s="55"/>
      <c r="H512" s="55"/>
      <c r="I512" s="55"/>
      <c r="J512" s="55"/>
      <c r="K512" s="55"/>
      <c r="L512" s="55"/>
      <c r="V512" t="s">
        <v>603</v>
      </c>
      <c r="W512" s="135" t="s">
        <v>604</v>
      </c>
      <c r="AA512" t="str">
        <f>IFERROR(VLOOKUP(A512,'Capacity of production'!A:C,3,0),"")</f>
        <v/>
      </c>
    </row>
    <row r="513" spans="1:27" ht="15.75" thickBot="1">
      <c r="B513" s="84"/>
      <c r="C513" s="55"/>
      <c r="D513" s="94"/>
      <c r="E513" s="56"/>
      <c r="F513" s="55"/>
      <c r="G513" s="55"/>
      <c r="H513" s="55"/>
      <c r="I513" s="55"/>
      <c r="J513" s="55"/>
      <c r="K513" s="55"/>
      <c r="L513" s="55"/>
      <c r="V513" t="s">
        <v>603</v>
      </c>
      <c r="W513" s="135" t="s">
        <v>604</v>
      </c>
      <c r="AA513" t="str">
        <f>IFERROR(VLOOKUP(A513,'Capacity of production'!A:C,3,0),"")</f>
        <v/>
      </c>
    </row>
    <row r="514" spans="1:27" ht="16.5" thickBot="1">
      <c r="A514" t="str">
        <f>B514</f>
        <v>IM092F-1</v>
      </c>
      <c r="B514" s="66" t="s">
        <v>599</v>
      </c>
      <c r="C514" s="288" t="str">
        <f>VLOOKUP(A514,'All products'!A:B,2,0)</f>
        <v>TECNOIMPER (KG)</v>
      </c>
      <c r="D514" s="288"/>
      <c r="E514" s="288"/>
      <c r="F514" s="289"/>
      <c r="G514" s="21">
        <f>Q514</f>
        <v>1002</v>
      </c>
      <c r="H514" s="21" t="str">
        <f>VLOOKUP(B514,'Full Item list'!A:B,2,0)</f>
        <v>IM092F-1</v>
      </c>
      <c r="I514" s="21">
        <f>VLOOKUP(H514,'Full Item list'!B:J,9,0)</f>
        <v>1</v>
      </c>
      <c r="J514" s="21"/>
      <c r="K514" s="21" t="str">
        <f>VLOOKUP(H514,'Full Item list'!B:O,14,0)</f>
        <v>KG</v>
      </c>
      <c r="L514" s="21"/>
      <c r="M514">
        <f t="shared" si="75"/>
        <v>0</v>
      </c>
      <c r="N514" t="e">
        <f>VLOOKUP(B514,#REF!,9,0)</f>
        <v>#REF!</v>
      </c>
      <c r="P514">
        <v>25</v>
      </c>
      <c r="Q514">
        <f>SUM(D516:D522)</f>
        <v>1002</v>
      </c>
      <c r="R514">
        <f ca="1">OFFSET(F514,MATCH("Total Cost:",E514:E564,0)-1,0,1,1)/G514</f>
        <v>0.42816335971658859</v>
      </c>
      <c r="S514" t="s">
        <v>573</v>
      </c>
      <c r="U514" t="str">
        <f>VLOOKUP(H514,'Full Item list'!B:D,3,0)</f>
        <v>Component</v>
      </c>
      <c r="V514" t="s">
        <v>603</v>
      </c>
      <c r="W514" s="135" t="s">
        <v>604</v>
      </c>
      <c r="X514" t="s">
        <v>634</v>
      </c>
      <c r="AA514" t="str">
        <f>IFERROR(VLOOKUP(A514,'Capacity of production'!A:C,3,0),"")</f>
        <v/>
      </c>
    </row>
    <row r="515" spans="1:27" ht="15" thickBot="1">
      <c r="B515" s="23" t="s">
        <v>319</v>
      </c>
      <c r="C515" s="69" t="s">
        <v>320</v>
      </c>
      <c r="D515" s="70" t="s">
        <v>321</v>
      </c>
      <c r="E515" s="70" t="s">
        <v>322</v>
      </c>
      <c r="F515" s="26" t="s">
        <v>323</v>
      </c>
      <c r="G515" s="27"/>
      <c r="H515" s="27"/>
      <c r="I515" s="27"/>
      <c r="J515" s="27"/>
      <c r="K515" s="27"/>
      <c r="L515" s="27"/>
      <c r="V515" t="s">
        <v>603</v>
      </c>
      <c r="W515" s="135" t="s">
        <v>604</v>
      </c>
      <c r="AA515" t="str">
        <f>IFERROR(VLOOKUP(A515,'Capacity of production'!A:C,3,0),"")</f>
        <v/>
      </c>
    </row>
    <row r="516" spans="1:27" ht="15.75" thickBot="1">
      <c r="B516" s="80" t="s">
        <v>348</v>
      </c>
      <c r="C516" s="89" t="s">
        <v>98</v>
      </c>
      <c r="D516" s="29">
        <v>455</v>
      </c>
      <c r="E516" s="31">
        <f t="shared" ref="E516:E523" si="76">O516*D516</f>
        <v>105.15049999999999</v>
      </c>
      <c r="F516" s="285"/>
      <c r="G516" s="32"/>
      <c r="H516" s="32" t="str">
        <f>VLOOKUP(B516,'Full Item list'!A:B,2,0)</f>
        <v>CE-070</v>
      </c>
      <c r="I516" s="32"/>
      <c r="J516" s="32" t="str">
        <f t="shared" ref="J516:J523" si="77">K516</f>
        <v>KG</v>
      </c>
      <c r="K516" s="32" t="str">
        <f>VLOOKUP(H516,'Full Item list'!B:O,14,0)</f>
        <v>KG</v>
      </c>
      <c r="L516" s="32"/>
      <c r="M516" s="22" t="e">
        <f t="shared" si="75"/>
        <v>#DIV/0!</v>
      </c>
      <c r="N516" s="22" t="e">
        <f>VLOOKUP(B516,#REF!,9,0)</f>
        <v>#REF!</v>
      </c>
      <c r="O516">
        <f>IFERROR(IF(J516="KG",VLOOKUP(H516,'Cost Price New'!D:E,2,0),VLOOKUP('BOMs setting'!H516,'Cost Price New'!D:I,6,0)),VLOOKUP(H516,A:R,18,0))</f>
        <v>0.2311</v>
      </c>
      <c r="P516" s="22"/>
      <c r="Q516">
        <v>1002</v>
      </c>
      <c r="V516" t="s">
        <v>602</v>
      </c>
      <c r="W516" s="135" t="s">
        <v>605</v>
      </c>
      <c r="AA516" t="str">
        <f>IFERROR(VLOOKUP(A516,'Capacity of production'!A:C,3,0),"")</f>
        <v/>
      </c>
    </row>
    <row r="517" spans="1:27" ht="15.75" thickBot="1">
      <c r="B517" s="67" t="s">
        <v>336</v>
      </c>
      <c r="C517" s="78" t="s">
        <v>115</v>
      </c>
      <c r="D517" s="34">
        <v>350</v>
      </c>
      <c r="E517" s="31">
        <f t="shared" si="76"/>
        <v>20.125</v>
      </c>
      <c r="F517" s="286"/>
      <c r="G517" s="36"/>
      <c r="H517" s="36" t="str">
        <f>VLOOKUP(B517,'Full Item list'!A:B,2,0)</f>
        <v>FS-540</v>
      </c>
      <c r="I517" s="36"/>
      <c r="J517" s="32" t="str">
        <f t="shared" si="77"/>
        <v>KG</v>
      </c>
      <c r="K517" s="36" t="str">
        <f>VLOOKUP(H517,'Full Item list'!B:O,14,0)</f>
        <v>KG</v>
      </c>
      <c r="L517" s="36"/>
      <c r="M517" s="22" t="e">
        <f t="shared" si="75"/>
        <v>#DIV/0!</v>
      </c>
      <c r="N517" s="22" t="e">
        <f>VLOOKUP(B517,#REF!,9,0)</f>
        <v>#REF!</v>
      </c>
      <c r="O517">
        <f>IFERROR(IF(J517="KG",VLOOKUP(H517,'Cost Price New'!D:E,2,0),VLOOKUP('BOMs setting'!H517,'Cost Price New'!D:I,6,0)),VLOOKUP(H517,A:R,18,0))</f>
        <v>5.7500000000000002E-2</v>
      </c>
      <c r="P517" s="22"/>
      <c r="Q517">
        <v>1002</v>
      </c>
      <c r="V517" t="s">
        <v>603</v>
      </c>
      <c r="W517" s="135" t="s">
        <v>604</v>
      </c>
      <c r="AA517" t="str">
        <f>IFERROR(VLOOKUP(A517,'Capacity of production'!A:C,3,0),"")</f>
        <v/>
      </c>
    </row>
    <row r="518" spans="1:27" ht="15.75" thickBot="1">
      <c r="B518" s="67" t="s">
        <v>338</v>
      </c>
      <c r="C518" s="78" t="s">
        <v>117</v>
      </c>
      <c r="D518" s="34">
        <v>115</v>
      </c>
      <c r="E518" s="31">
        <f t="shared" si="76"/>
        <v>4.0250000000000004</v>
      </c>
      <c r="F518" s="286"/>
      <c r="G518" s="36"/>
      <c r="H518" s="36" t="str">
        <f>VLOOKUP(B518,'Full Item list'!A:B,2,0)</f>
        <v>FS-550</v>
      </c>
      <c r="I518" s="36"/>
      <c r="J518" s="32" t="str">
        <f t="shared" si="77"/>
        <v>KG</v>
      </c>
      <c r="K518" s="36" t="str">
        <f>VLOOKUP(H518,'Full Item list'!B:O,14,0)</f>
        <v>KG</v>
      </c>
      <c r="L518" s="36"/>
      <c r="M518" s="22" t="e">
        <f t="shared" si="75"/>
        <v>#DIV/0!</v>
      </c>
      <c r="N518" s="22" t="e">
        <f>VLOOKUP(B518,#REF!,9,0)</f>
        <v>#REF!</v>
      </c>
      <c r="O518">
        <f>IFERROR(IF(J518="KG",VLOOKUP(H518,'Cost Price New'!D:E,2,0),VLOOKUP('BOMs setting'!H518,'Cost Price New'!D:I,6,0)),VLOOKUP(H518,A:R,18,0))</f>
        <v>3.5000000000000003E-2</v>
      </c>
      <c r="P518" s="22"/>
      <c r="Q518">
        <v>1002</v>
      </c>
      <c r="V518" t="s">
        <v>602</v>
      </c>
      <c r="W518" s="135" t="s">
        <v>605</v>
      </c>
      <c r="AA518" t="str">
        <f>IFERROR(VLOOKUP(A518,'Capacity of production'!A:C,3,0),"")</f>
        <v/>
      </c>
    </row>
    <row r="519" spans="1:27" ht="15.75" thickBot="1">
      <c r="B519" s="67" t="s">
        <v>331</v>
      </c>
      <c r="C519" s="78" t="s">
        <v>279</v>
      </c>
      <c r="D519" s="34">
        <v>50</v>
      </c>
      <c r="E519" s="31">
        <f t="shared" si="76"/>
        <v>4.7249999999999996</v>
      </c>
      <c r="F519" s="286"/>
      <c r="G519" s="36"/>
      <c r="H519" s="36" t="str">
        <f>VLOOKUP(B519,'Full Item list'!A:B,2,0)</f>
        <v>TS-440</v>
      </c>
      <c r="I519" s="36"/>
      <c r="J519" s="32" t="str">
        <f t="shared" si="77"/>
        <v>KG</v>
      </c>
      <c r="K519" s="36" t="str">
        <f>VLOOKUP(H519,'Full Item list'!B:O,14,0)</f>
        <v>KG</v>
      </c>
      <c r="L519" s="36"/>
      <c r="M519">
        <f t="shared" si="75"/>
        <v>3.7799999999999999E-3</v>
      </c>
      <c r="N519" t="e">
        <f>VLOOKUP(B519,#REF!,9,0)</f>
        <v>#REF!</v>
      </c>
      <c r="O519">
        <f>IFERROR(IF(J519="KG",VLOOKUP(H519,'Cost Price New'!D:E,2,0),VLOOKUP('BOMs setting'!H519,'Cost Price New'!D:I,6,0)),VLOOKUP(H519,A:R,18,0))</f>
        <v>9.4500000000000001E-2</v>
      </c>
      <c r="P519">
        <v>25</v>
      </c>
      <c r="Q519">
        <v>1002</v>
      </c>
      <c r="V519" t="s">
        <v>603</v>
      </c>
      <c r="W519" s="135" t="s">
        <v>604</v>
      </c>
      <c r="AA519" t="str">
        <f>IFERROR(VLOOKUP(A519,'Capacity of production'!A:C,3,0),"")</f>
        <v/>
      </c>
    </row>
    <row r="520" spans="1:27" ht="15.75" thickBot="1">
      <c r="B520" s="67" t="s">
        <v>333</v>
      </c>
      <c r="C520" s="78" t="s">
        <v>127</v>
      </c>
      <c r="D520" s="34">
        <v>20</v>
      </c>
      <c r="E520" s="31">
        <f t="shared" si="76"/>
        <v>9.0400000000000009</v>
      </c>
      <c r="F520" s="286"/>
      <c r="G520" s="36"/>
      <c r="H520" s="36" t="str">
        <f>VLOOKUP(B520,'Full Item list'!A:B,2,0)</f>
        <v>FT-680</v>
      </c>
      <c r="I520" s="36"/>
      <c r="J520" s="32" t="str">
        <f t="shared" si="77"/>
        <v>KG</v>
      </c>
      <c r="K520" s="36" t="str">
        <f>VLOOKUP(H520,'Full Item list'!B:O,14,0)</f>
        <v>KG</v>
      </c>
      <c r="L520" s="36"/>
      <c r="M520">
        <f t="shared" si="75"/>
        <v>1.8079999999999999E-2</v>
      </c>
      <c r="N520" t="e">
        <f>VLOOKUP(B520,#REF!,9,0)</f>
        <v>#REF!</v>
      </c>
      <c r="O520">
        <f>IFERROR(IF(J520="KG",VLOOKUP(H520,'Cost Price New'!D:E,2,0),VLOOKUP('BOMs setting'!H520,'Cost Price New'!D:I,6,0)),VLOOKUP(H520,A:R,18,0))</f>
        <v>0.45200000000000001</v>
      </c>
      <c r="P520">
        <v>25</v>
      </c>
      <c r="Q520">
        <v>1002</v>
      </c>
      <c r="V520" t="s">
        <v>603</v>
      </c>
      <c r="W520" s="135" t="s">
        <v>604</v>
      </c>
      <c r="AA520" t="str">
        <f>IFERROR(VLOOKUP(A520,'Capacity of production'!A:C,3,0),"")</f>
        <v/>
      </c>
    </row>
    <row r="521" spans="1:27" ht="15.75" thickBot="1">
      <c r="B521" s="67" t="s">
        <v>356</v>
      </c>
      <c r="C521" s="78" t="s">
        <v>253</v>
      </c>
      <c r="D521" s="34">
        <v>5</v>
      </c>
      <c r="E521" s="31">
        <f t="shared" si="76"/>
        <v>15.5</v>
      </c>
      <c r="F521" s="286"/>
      <c r="G521" s="36"/>
      <c r="H521" s="36" t="str">
        <f>VLOOKUP(B521,'Full Item list'!A:B,2,0)</f>
        <v>SS-250</v>
      </c>
      <c r="I521" s="36"/>
      <c r="J521" s="32" t="str">
        <f t="shared" si="77"/>
        <v>KG</v>
      </c>
      <c r="K521" s="36" t="str">
        <f>VLOOKUP(H521,'Full Item list'!B:O,14,0)</f>
        <v>KG</v>
      </c>
      <c r="L521" s="36"/>
      <c r="M521">
        <f t="shared" si="75"/>
        <v>0.124</v>
      </c>
      <c r="N521" t="e">
        <f>VLOOKUP(B521,#REF!,9,0)</f>
        <v>#REF!</v>
      </c>
      <c r="O521">
        <f>IFERROR(IF(J521="KG",VLOOKUP(H521,'Cost Price New'!D:E,2,0),VLOOKUP('BOMs setting'!H521,'Cost Price New'!D:I,6,0)),VLOOKUP(H521,A:R,18,0))</f>
        <v>3.1</v>
      </c>
      <c r="P521">
        <v>25</v>
      </c>
      <c r="Q521">
        <v>1002</v>
      </c>
      <c r="V521" t="s">
        <v>603</v>
      </c>
      <c r="W521" s="135" t="s">
        <v>604</v>
      </c>
      <c r="AA521" t="str">
        <f>IFERROR(VLOOKUP(A521,'Capacity of production'!A:C,3,0),"")</f>
        <v/>
      </c>
    </row>
    <row r="522" spans="1:27" ht="15.75" thickBot="1">
      <c r="B522" s="75" t="s">
        <v>179</v>
      </c>
      <c r="C522" s="95" t="s">
        <v>180</v>
      </c>
      <c r="D522" s="39">
        <v>7</v>
      </c>
      <c r="E522" s="31">
        <f t="shared" si="76"/>
        <v>24.43</v>
      </c>
      <c r="F522" s="287"/>
      <c r="G522" s="37"/>
      <c r="H522" s="37" t="str">
        <f>VLOOKUP(B522,'Full Item list'!A:B,2,0)</f>
        <v>AW-010</v>
      </c>
      <c r="I522" s="37"/>
      <c r="J522" s="32" t="str">
        <f t="shared" si="77"/>
        <v>KG</v>
      </c>
      <c r="K522" s="37" t="str">
        <f>VLOOKUP(H522,'Full Item list'!B:O,14,0)</f>
        <v>KG</v>
      </c>
      <c r="L522" s="37"/>
      <c r="M522">
        <f t="shared" si="75"/>
        <v>0.1396</v>
      </c>
      <c r="N522" t="e">
        <f>VLOOKUP(B522,#REF!,9,0)</f>
        <v>#REF!</v>
      </c>
      <c r="O522">
        <f>IFERROR(IF(J522="KG",VLOOKUP(H522,'Cost Price New'!D:E,2,0),VLOOKUP('BOMs setting'!H522,'Cost Price New'!D:I,6,0)),VLOOKUP(H522,A:R,18,0))</f>
        <v>3.49</v>
      </c>
      <c r="P522">
        <v>25</v>
      </c>
      <c r="Q522">
        <v>1002</v>
      </c>
      <c r="V522" t="s">
        <v>603</v>
      </c>
      <c r="W522" s="135" t="s">
        <v>604</v>
      </c>
      <c r="AA522" t="str">
        <f>IFERROR(VLOOKUP(A522,'Capacity of production'!A:C,3,0),"")</f>
        <v/>
      </c>
    </row>
    <row r="523" spans="1:27" ht="15.75" thickBot="1">
      <c r="B523" s="41" t="s">
        <v>310</v>
      </c>
      <c r="C523" s="42" t="s">
        <v>312</v>
      </c>
      <c r="D523" s="284">
        <f>G514/AA509</f>
        <v>0.501</v>
      </c>
      <c r="E523" s="31">
        <f t="shared" si="76"/>
        <v>246.02418643602178</v>
      </c>
      <c r="F523" s="45" t="s">
        <v>782</v>
      </c>
      <c r="G523" s="32"/>
      <c r="H523" s="32" t="str">
        <f>VLOOKUP(B523,'Full Item list'!A:B,2,0)</f>
        <v>LAB/OH-Mortar</v>
      </c>
      <c r="I523" s="32"/>
      <c r="J523" s="32" t="str">
        <f t="shared" si="77"/>
        <v>H</v>
      </c>
      <c r="K523" s="32" t="str">
        <f>VLOOKUP(H523,'Full Item list'!B:O,14,0)</f>
        <v>H</v>
      </c>
      <c r="L523" s="32"/>
      <c r="O523">
        <f>IFERROR(IF(J523="KG",VLOOKUP(H523,'Cost Price New'!D:E,2,0),VLOOKUP('BOMs setting'!H523,'Cost Price New'!D:I,6,0)),VLOOKUP(H523,A:R,18,0))</f>
        <v>491.06624039126103</v>
      </c>
      <c r="Q523">
        <v>1002</v>
      </c>
      <c r="V523" t="s">
        <v>603</v>
      </c>
      <c r="W523" s="135" t="s">
        <v>604</v>
      </c>
      <c r="AA523" t="str">
        <f>IFERROR(VLOOKUP(A523,'Capacity of production'!A:C,3,0),"")</f>
        <v/>
      </c>
    </row>
    <row r="524" spans="1:27" ht="15">
      <c r="B524" s="54"/>
      <c r="C524" s="55"/>
      <c r="D524" s="56"/>
      <c r="E524" s="56" t="s">
        <v>466</v>
      </c>
      <c r="F524" s="56">
        <f>SUM(E516:E523)</f>
        <v>429.01968643602174</v>
      </c>
      <c r="G524" s="55"/>
      <c r="H524" s="55"/>
      <c r="I524" s="55"/>
      <c r="J524" s="55"/>
      <c r="K524" s="55"/>
      <c r="L524" s="55"/>
      <c r="V524" t="s">
        <v>603</v>
      </c>
      <c r="W524" s="135" t="s">
        <v>604</v>
      </c>
      <c r="AA524" t="str">
        <f>IFERROR(VLOOKUP(A524,'Capacity of production'!A:C,3,0),"")</f>
        <v/>
      </c>
    </row>
    <row r="525" spans="1:27" ht="15.75" thickBot="1">
      <c r="B525" s="2"/>
      <c r="C525" s="55"/>
      <c r="D525" s="55"/>
      <c r="E525" s="56"/>
      <c r="F525" s="55"/>
      <c r="G525" s="55"/>
      <c r="H525" s="55"/>
      <c r="I525" s="55"/>
      <c r="J525" s="55"/>
      <c r="K525" s="55"/>
      <c r="L525" s="55"/>
      <c r="V525" t="s">
        <v>603</v>
      </c>
      <c r="W525" s="135" t="s">
        <v>604</v>
      </c>
      <c r="AA525" t="str">
        <f>IFERROR(VLOOKUP(A525,'Capacity of production'!A:C,3,0),"")</f>
        <v/>
      </c>
    </row>
    <row r="526" spans="1:27" ht="16.5" thickBot="1">
      <c r="A526" t="str">
        <f>B526</f>
        <v>SPMO001</v>
      </c>
      <c r="B526" s="66" t="s">
        <v>600</v>
      </c>
      <c r="C526" s="288" t="str">
        <f>VLOOKUP(A526,'All products'!A:B,2,0)</f>
        <v>ADITIVO T-1</v>
      </c>
      <c r="D526" s="288"/>
      <c r="E526" s="288"/>
      <c r="F526" s="289"/>
      <c r="G526" s="21">
        <v>451.85</v>
      </c>
      <c r="H526" s="21" t="str">
        <f>VLOOKUP(B526,'Full Item list'!A:B,2,0)</f>
        <v>SPMO001</v>
      </c>
      <c r="I526" s="21">
        <f>VLOOKUP(H526,'Full Item list'!B:J,9,0)</f>
        <v>1</v>
      </c>
      <c r="J526" s="21"/>
      <c r="K526" s="21" t="str">
        <f>VLOOKUP(H526,'Full Item list'!B:O,14,0)</f>
        <v>KG</v>
      </c>
      <c r="L526" s="21"/>
      <c r="M526" t="e">
        <f t="shared" si="75"/>
        <v>#N/A</v>
      </c>
      <c r="N526" t="e">
        <f>VLOOKUP(B526,#REF!,9,0)</f>
        <v>#REF!</v>
      </c>
      <c r="O526" t="e">
        <f>IF(J526="KG",VLOOKUP(H526,'Cost Price New'!D:E,2,0),VLOOKUP('BOMs setting'!H526,'Cost Price New'!D:I,6,0))</f>
        <v>#N/A</v>
      </c>
      <c r="P526">
        <v>200</v>
      </c>
      <c r="Q526" s="130">
        <f>SUM(D528:D529)</f>
        <v>451.85</v>
      </c>
      <c r="R526">
        <f ca="1">OFFSET(F526,MATCH("Total Cost:",E526:E576,0)-1,0,1,1)/G526</f>
        <v>3.1328770609715613</v>
      </c>
      <c r="U526" t="str">
        <f>VLOOKUP(H526,'Full Item list'!B:D,3,0)</f>
        <v>Component</v>
      </c>
      <c r="V526" t="s">
        <v>603</v>
      </c>
      <c r="W526" s="135" t="s">
        <v>604</v>
      </c>
      <c r="X526" t="s">
        <v>633</v>
      </c>
      <c r="AA526" t="str">
        <f>IFERROR(VLOOKUP(A526,'Capacity of production'!A:C,3,0),"")</f>
        <v/>
      </c>
    </row>
    <row r="527" spans="1:27" ht="15" thickBot="1">
      <c r="B527" s="23" t="s">
        <v>319</v>
      </c>
      <c r="C527" s="69" t="s">
        <v>320</v>
      </c>
      <c r="D527" s="70" t="s">
        <v>321</v>
      </c>
      <c r="E527" s="70" t="s">
        <v>322</v>
      </c>
      <c r="F527" s="26" t="s">
        <v>323</v>
      </c>
      <c r="G527" s="27"/>
      <c r="H527" s="27"/>
      <c r="I527" s="27"/>
      <c r="J527" s="27"/>
      <c r="K527" s="27"/>
      <c r="L527" s="27"/>
      <c r="V527" t="s">
        <v>603</v>
      </c>
      <c r="W527" s="135" t="s">
        <v>604</v>
      </c>
      <c r="AA527" t="str">
        <f>IFERROR(VLOOKUP(A527,'Capacity of production'!A:C,3,0),"")</f>
        <v/>
      </c>
    </row>
    <row r="528" spans="1:27" ht="15.75" thickBot="1">
      <c r="B528" s="80" t="s">
        <v>356</v>
      </c>
      <c r="C528" s="89" t="s">
        <v>253</v>
      </c>
      <c r="D528" s="90">
        <v>450</v>
      </c>
      <c r="E528" s="31">
        <f>O528*D528</f>
        <v>1395</v>
      </c>
      <c r="F528" s="285"/>
      <c r="G528" s="32"/>
      <c r="H528" s="32" t="str">
        <f>VLOOKUP(B528,'Full Item list'!A:B,2,0)</f>
        <v>SS-250</v>
      </c>
      <c r="I528" s="32"/>
      <c r="J528" s="32" t="str">
        <f t="shared" ref="J528:J530" si="78">K528</f>
        <v>KG</v>
      </c>
      <c r="K528" s="32" t="str">
        <f>VLOOKUP(H528,'Full Item list'!B:O,14,0)</f>
        <v>KG</v>
      </c>
      <c r="L528" s="32"/>
      <c r="M528">
        <f t="shared" si="75"/>
        <v>0.124</v>
      </c>
      <c r="N528" t="e">
        <f>VLOOKUP(B528,#REF!,9,0)</f>
        <v>#REF!</v>
      </c>
      <c r="O528">
        <f>IFERROR(IF(J528="KG",VLOOKUP(H528,'Cost Price New'!D:E,2,0),VLOOKUP('BOMs setting'!H528,'Cost Price New'!D:I,6,0)),VLOOKUP(H528,A:R,18,0))</f>
        <v>3.1</v>
      </c>
      <c r="P528">
        <v>25</v>
      </c>
      <c r="Q528">
        <v>451.85</v>
      </c>
      <c r="V528" t="s">
        <v>603</v>
      </c>
      <c r="W528" s="135" t="s">
        <v>604</v>
      </c>
      <c r="AA528" t="str">
        <f>IFERROR(VLOOKUP(A528,'Capacity of production'!A:C,3,0),"")</f>
        <v/>
      </c>
    </row>
    <row r="529" spans="1:27" ht="15.75" thickBot="1">
      <c r="B529" s="75" t="s">
        <v>172</v>
      </c>
      <c r="C529" s="79" t="s">
        <v>173</v>
      </c>
      <c r="D529" s="93">
        <v>1.85</v>
      </c>
      <c r="E529" s="31">
        <f>O529*D529</f>
        <v>20.590500000000002</v>
      </c>
      <c r="F529" s="306"/>
      <c r="G529" s="32"/>
      <c r="H529" s="32" t="str">
        <f>VLOOKUP(B529,'Full Item list'!A:B,2,0)</f>
        <v>AK-010</v>
      </c>
      <c r="I529" s="32"/>
      <c r="J529" s="32" t="str">
        <f t="shared" si="78"/>
        <v>KG</v>
      </c>
      <c r="K529" s="32" t="str">
        <f>VLOOKUP(H529,'Full Item list'!B:O,14,0)</f>
        <v>KG</v>
      </c>
      <c r="L529" s="32"/>
      <c r="M529">
        <f t="shared" si="75"/>
        <v>0.22260000000000002</v>
      </c>
      <c r="N529" t="e">
        <f>VLOOKUP(B529,#REF!,9,0)</f>
        <v>#REF!</v>
      </c>
      <c r="O529">
        <f>IFERROR(IF(J529="KG",VLOOKUP(H529,'Cost Price New'!D:E,2,0),VLOOKUP('BOMs setting'!H529,'Cost Price New'!D:I,6,0)),VLOOKUP(H529,A:R,18,0))</f>
        <v>11.13</v>
      </c>
      <c r="P529">
        <v>50</v>
      </c>
      <c r="Q529">
        <v>451.85</v>
      </c>
      <c r="V529" t="s">
        <v>603</v>
      </c>
      <c r="W529" s="135" t="s">
        <v>604</v>
      </c>
      <c r="AA529" t="str">
        <f>IFERROR(VLOOKUP(A529,'Capacity of production'!A:C,3,0),"")</f>
        <v/>
      </c>
    </row>
    <row r="530" spans="1:27" ht="15.75" thickBot="1">
      <c r="B530" s="41" t="s">
        <v>310</v>
      </c>
      <c r="C530" s="42" t="s">
        <v>312</v>
      </c>
      <c r="D530" s="43"/>
      <c r="E530" s="44"/>
      <c r="F530" s="45"/>
      <c r="G530" s="32"/>
      <c r="H530" s="32" t="str">
        <f>VLOOKUP(B530,'Full Item list'!A:B,2,0)</f>
        <v>LAB/OH-Mortar</v>
      </c>
      <c r="I530" s="32"/>
      <c r="J530" s="32" t="str">
        <f t="shared" si="78"/>
        <v>H</v>
      </c>
      <c r="K530" s="32" t="str">
        <f>VLOOKUP(H530,'Full Item list'!B:O,14,0)</f>
        <v>H</v>
      </c>
      <c r="L530" s="32"/>
      <c r="O530">
        <f>IFERROR(IF(J530="KG",VLOOKUP(H530,'Cost Price New'!D:E,2,0),VLOOKUP('BOMs setting'!H530,'Cost Price New'!D:I,6,0)),VLOOKUP(H530,A:R,18,0))</f>
        <v>491.06624039126103</v>
      </c>
      <c r="V530" t="s">
        <v>603</v>
      </c>
      <c r="W530" s="135" t="s">
        <v>604</v>
      </c>
      <c r="AA530" t="str">
        <f>IFERROR(VLOOKUP(A530,'Capacity of production'!A:C,3,0),"")</f>
        <v/>
      </c>
    </row>
    <row r="531" spans="1:27" ht="15">
      <c r="B531" s="54"/>
      <c r="C531" s="55"/>
      <c r="D531" s="56"/>
      <c r="E531" s="56" t="s">
        <v>466</v>
      </c>
      <c r="F531" s="56">
        <f>SUM(E528:E530)</f>
        <v>1415.5905</v>
      </c>
      <c r="G531" s="55"/>
      <c r="H531" s="55"/>
      <c r="I531" s="55"/>
      <c r="J531" s="55"/>
      <c r="K531" s="55"/>
      <c r="L531" s="55"/>
      <c r="V531" t="s">
        <v>603</v>
      </c>
      <c r="W531" s="135" t="s">
        <v>604</v>
      </c>
      <c r="AA531" t="str">
        <f>IFERROR(VLOOKUP(A531,'Capacity of production'!A:C,3,0),"")</f>
        <v/>
      </c>
    </row>
    <row r="532" spans="1:27" ht="15.75" thickBot="1">
      <c r="B532" s="96"/>
      <c r="C532" s="55"/>
      <c r="D532" s="55"/>
      <c r="E532" s="56"/>
      <c r="F532" s="55"/>
      <c r="G532" s="55"/>
      <c r="H532" s="55"/>
      <c r="I532" s="55"/>
      <c r="J532" s="55"/>
      <c r="K532" s="55"/>
      <c r="L532" s="55"/>
      <c r="V532" t="s">
        <v>603</v>
      </c>
      <c r="W532" s="135" t="s">
        <v>604</v>
      </c>
      <c r="AA532" t="str">
        <f>IFERROR(VLOOKUP(A532,'Capacity of production'!A:C,3,0),"")</f>
        <v/>
      </c>
    </row>
    <row r="533" spans="1:27" ht="16.5" thickBot="1">
      <c r="A533" t="str">
        <f>B533</f>
        <v>SPMO002</v>
      </c>
      <c r="B533" s="66" t="s">
        <v>242</v>
      </c>
      <c r="C533" s="288" t="str">
        <f>VLOOKUP(A533,'All products'!A:B,2,0)</f>
        <v>ADITIVO T-2</v>
      </c>
      <c r="D533" s="288"/>
      <c r="E533" s="288"/>
      <c r="F533" s="289"/>
      <c r="G533" s="121">
        <f>SUM(D535:D540)</f>
        <v>222.13600000000002</v>
      </c>
      <c r="H533" s="21" t="str">
        <f>VLOOKUP(B533,'Full Item list'!A:B,2,0)</f>
        <v>SPMO002</v>
      </c>
      <c r="I533" s="21">
        <f>VLOOKUP(H533,'Full Item list'!B:J,9,0)</f>
        <v>1</v>
      </c>
      <c r="J533" s="21"/>
      <c r="K533" s="21" t="str">
        <f>VLOOKUP(H533,'Full Item list'!B:O,14,0)</f>
        <v>KG</v>
      </c>
      <c r="L533" s="21"/>
      <c r="M533" t="e">
        <f t="shared" si="75"/>
        <v>#N/A</v>
      </c>
      <c r="N533" t="e">
        <f>VLOOKUP(B533,#REF!,9,0)</f>
        <v>#REF!</v>
      </c>
      <c r="O533" t="e">
        <f>IF(J533="KG",VLOOKUP(H533,'Cost Price New'!D:E,2,0),VLOOKUP('BOMs setting'!H533,'Cost Price New'!D:I,6,0))</f>
        <v>#N/A</v>
      </c>
      <c r="P533">
        <v>200</v>
      </c>
      <c r="Q533" s="130">
        <f>SUM(D535:D540)</f>
        <v>222.13600000000002</v>
      </c>
      <c r="R533">
        <f ca="1">OFFSET(F533,MATCH("Total Cost:",E533:E583,0)-1,0,1,1)/G533</f>
        <v>2.8574917167861131</v>
      </c>
      <c r="U533" t="str">
        <f>VLOOKUP(H533,'Full Item list'!B:D,3,0)</f>
        <v>Component</v>
      </c>
      <c r="V533" t="s">
        <v>603</v>
      </c>
      <c r="W533" s="135" t="s">
        <v>604</v>
      </c>
      <c r="X533" t="s">
        <v>633</v>
      </c>
      <c r="AA533" t="str">
        <f>IFERROR(VLOOKUP(A533,'Capacity of production'!A:C,3,0),"")</f>
        <v/>
      </c>
    </row>
    <row r="534" spans="1:27" ht="15" thickBot="1">
      <c r="B534" s="23" t="s">
        <v>319</v>
      </c>
      <c r="C534" s="69" t="s">
        <v>320</v>
      </c>
      <c r="D534" s="70" t="s">
        <v>321</v>
      </c>
      <c r="E534" s="70" t="s">
        <v>322</v>
      </c>
      <c r="F534" s="26" t="s">
        <v>323</v>
      </c>
      <c r="G534" s="27"/>
      <c r="H534" s="27"/>
      <c r="I534" s="27"/>
      <c r="J534" s="27"/>
      <c r="K534" s="27"/>
      <c r="L534" s="27"/>
      <c r="V534" t="s">
        <v>603</v>
      </c>
      <c r="W534" s="135" t="s">
        <v>604</v>
      </c>
      <c r="AA534" t="str">
        <f>IFERROR(VLOOKUP(A534,'Capacity of production'!A:C,3,0),"")</f>
        <v/>
      </c>
    </row>
    <row r="535" spans="1:27" ht="15.75" thickBot="1">
      <c r="B535" s="80" t="s">
        <v>164</v>
      </c>
      <c r="C535" s="89" t="s">
        <v>358</v>
      </c>
      <c r="D535" s="90">
        <v>25.2</v>
      </c>
      <c r="E535" s="31">
        <f t="shared" ref="E535:E540" si="79">O535*D535</f>
        <v>74.289599999999993</v>
      </c>
      <c r="F535" s="285"/>
      <c r="G535" s="32"/>
      <c r="H535" s="32" t="str">
        <f>VLOOKUP(B535,'Full Item list'!A:B,2,0)</f>
        <v>AA-010</v>
      </c>
      <c r="I535" s="32"/>
      <c r="J535" s="32" t="str">
        <f t="shared" ref="J535:J541" si="80">K535</f>
        <v>KG</v>
      </c>
      <c r="K535" s="32" t="str">
        <f>VLOOKUP(H535,'Full Item list'!B:O,14,0)</f>
        <v>KG</v>
      </c>
      <c r="L535" s="32"/>
      <c r="M535">
        <f t="shared" si="75"/>
        <v>0.11792</v>
      </c>
      <c r="N535" t="e">
        <f>VLOOKUP(B535,#REF!,9,0)</f>
        <v>#REF!</v>
      </c>
      <c r="O535">
        <f>IFERROR(IF(J535="KG",VLOOKUP(H535,'Cost Price New'!D:E,2,0),VLOOKUP('BOMs setting'!H535,'Cost Price New'!D:I,6,0)),VLOOKUP(H535,A:R,18,0))</f>
        <v>2.948</v>
      </c>
      <c r="P535">
        <v>25</v>
      </c>
      <c r="Q535">
        <v>222.13600000000002</v>
      </c>
      <c r="V535" t="s">
        <v>603</v>
      </c>
      <c r="W535" s="135" t="s">
        <v>604</v>
      </c>
      <c r="AA535" t="str">
        <f>IFERROR(VLOOKUP(A535,'Capacity of production'!A:C,3,0),"")</f>
        <v/>
      </c>
    </row>
    <row r="536" spans="1:27" ht="15.75" thickBot="1">
      <c r="B536" s="67" t="s">
        <v>177</v>
      </c>
      <c r="C536" s="78" t="s">
        <v>178</v>
      </c>
      <c r="D536" s="91">
        <v>14.7</v>
      </c>
      <c r="E536" s="31">
        <f t="shared" si="79"/>
        <v>5.5124999999999993</v>
      </c>
      <c r="F536" s="286"/>
      <c r="G536" s="36"/>
      <c r="H536" s="36" t="str">
        <f>VLOOKUP(B536,'Full Item list'!A:B,2,0)</f>
        <v>AA-030</v>
      </c>
      <c r="I536" s="36"/>
      <c r="J536" s="32" t="str">
        <f t="shared" si="80"/>
        <v>KG</v>
      </c>
      <c r="K536" s="36" t="str">
        <f>VLOOKUP(H536,'Full Item list'!B:O,14,0)</f>
        <v>KG</v>
      </c>
      <c r="L536" s="36"/>
      <c r="M536">
        <f t="shared" si="75"/>
        <v>1.4999999999999999E-2</v>
      </c>
      <c r="N536" t="e">
        <f>VLOOKUP(B536,#REF!,9,0)</f>
        <v>#REF!</v>
      </c>
      <c r="O536">
        <f>IFERROR(IF(J536="KG",VLOOKUP(H536,'Cost Price New'!D:E,2,0),VLOOKUP('BOMs setting'!H536,'Cost Price New'!D:I,6,0)),VLOOKUP(H536,A:R,18,0))</f>
        <v>0.375</v>
      </c>
      <c r="P536">
        <v>25</v>
      </c>
      <c r="Q536">
        <v>222.13600000000002</v>
      </c>
      <c r="V536" t="s">
        <v>603</v>
      </c>
      <c r="W536" s="135" t="s">
        <v>604</v>
      </c>
      <c r="AA536" t="str">
        <f>IFERROR(VLOOKUP(A536,'Capacity of production'!A:C,3,0),"")</f>
        <v/>
      </c>
    </row>
    <row r="537" spans="1:27" ht="15.75" thickBot="1">
      <c r="B537" s="67" t="s">
        <v>359</v>
      </c>
      <c r="C537" s="78" t="s">
        <v>251</v>
      </c>
      <c r="D537" s="91">
        <v>142.80000000000001</v>
      </c>
      <c r="E537" s="31">
        <f t="shared" si="79"/>
        <v>314.16000000000003</v>
      </c>
      <c r="F537" s="286"/>
      <c r="G537" s="36"/>
      <c r="H537" s="36" t="str">
        <f>VLOOKUP(B537,'Full Item list'!A:B,2,0)</f>
        <v>SS-240</v>
      </c>
      <c r="I537" s="36"/>
      <c r="J537" s="32" t="str">
        <f t="shared" si="80"/>
        <v>KG</v>
      </c>
      <c r="K537" s="36" t="str">
        <f>VLOOKUP(H537,'Full Item list'!B:O,14,0)</f>
        <v>KG</v>
      </c>
      <c r="L537" s="36"/>
      <c r="M537">
        <f t="shared" si="75"/>
        <v>8.8000000000000009E-2</v>
      </c>
      <c r="N537" t="e">
        <f>VLOOKUP(B537,#REF!,9,0)</f>
        <v>#REF!</v>
      </c>
      <c r="O537">
        <f>IFERROR(IF(J537="KG",VLOOKUP(H537,'Cost Price New'!D:E,2,0),VLOOKUP('BOMs setting'!H537,'Cost Price New'!D:I,6,0)),VLOOKUP(H537,A:R,18,0))</f>
        <v>2.2000000000000002</v>
      </c>
      <c r="P537">
        <v>25</v>
      </c>
      <c r="Q537">
        <v>222.13600000000002</v>
      </c>
      <c r="V537" t="s">
        <v>603</v>
      </c>
      <c r="W537" s="135" t="s">
        <v>604</v>
      </c>
      <c r="AA537" t="str">
        <f>IFERROR(VLOOKUP(A537,'Capacity of production'!A:C,3,0),"")</f>
        <v/>
      </c>
    </row>
    <row r="538" spans="1:27" ht="15.75" thickBot="1">
      <c r="B538" s="67" t="s">
        <v>356</v>
      </c>
      <c r="C538" s="78" t="s">
        <v>253</v>
      </c>
      <c r="D538" s="91">
        <v>21</v>
      </c>
      <c r="E538" s="31">
        <f t="shared" si="79"/>
        <v>65.100000000000009</v>
      </c>
      <c r="F538" s="286"/>
      <c r="G538" s="36"/>
      <c r="H538" s="36" t="str">
        <f>VLOOKUP(B538,'Full Item list'!A:B,2,0)</f>
        <v>SS-250</v>
      </c>
      <c r="I538" s="36"/>
      <c r="J538" s="32" t="str">
        <f t="shared" si="80"/>
        <v>KG</v>
      </c>
      <c r="K538" s="36" t="str">
        <f>VLOOKUP(H538,'Full Item list'!B:O,14,0)</f>
        <v>KG</v>
      </c>
      <c r="L538" s="36"/>
      <c r="M538">
        <f t="shared" si="75"/>
        <v>0.124</v>
      </c>
      <c r="N538" t="e">
        <f>VLOOKUP(B538,#REF!,9,0)</f>
        <v>#REF!</v>
      </c>
      <c r="O538">
        <f>IFERROR(IF(J538="KG",VLOOKUP(H538,'Cost Price New'!D:E,2,0),VLOOKUP('BOMs setting'!H538,'Cost Price New'!D:I,6,0)),VLOOKUP(H538,A:R,18,0))</f>
        <v>3.1</v>
      </c>
      <c r="P538">
        <v>25</v>
      </c>
      <c r="Q538">
        <v>222.13600000000002</v>
      </c>
      <c r="V538" t="s">
        <v>603</v>
      </c>
      <c r="W538" s="135" t="s">
        <v>604</v>
      </c>
      <c r="AA538" t="str">
        <f>IFERROR(VLOOKUP(A538,'Capacity of production'!A:C,3,0),"")</f>
        <v/>
      </c>
    </row>
    <row r="539" spans="1:27" ht="15.75" thickBot="1">
      <c r="B539" s="67" t="s">
        <v>360</v>
      </c>
      <c r="C539" s="78" t="s">
        <v>268</v>
      </c>
      <c r="D539" s="91">
        <v>18.100000000000001</v>
      </c>
      <c r="E539" s="31">
        <f t="shared" si="79"/>
        <v>171.95000000000002</v>
      </c>
      <c r="F539" s="286"/>
      <c r="G539" s="36"/>
      <c r="H539" s="36" t="str">
        <f>VLOOKUP(B539,'Full Item list'!A:B,2,0)</f>
        <v>TP-340</v>
      </c>
      <c r="I539" s="36"/>
      <c r="J539" s="32" t="str">
        <f t="shared" si="80"/>
        <v>KG</v>
      </c>
      <c r="K539" s="36" t="str">
        <f>VLOOKUP(H539,'Full Item list'!B:O,14,0)</f>
        <v>KG</v>
      </c>
      <c r="L539" s="36"/>
      <c r="M539">
        <f t="shared" si="75"/>
        <v>0.47499999999999998</v>
      </c>
      <c r="N539" t="e">
        <f>VLOOKUP(B539,#REF!,9,0)</f>
        <v>#REF!</v>
      </c>
      <c r="O539">
        <f>IFERROR(IF(J539="KG",VLOOKUP(H539,'Cost Price New'!D:E,2,0),VLOOKUP('BOMs setting'!H539,'Cost Price New'!D:I,6,0)),VLOOKUP(H539,A:R,18,0))</f>
        <v>9.5</v>
      </c>
      <c r="P539">
        <v>20</v>
      </c>
      <c r="Q539">
        <v>222.13600000000002</v>
      </c>
      <c r="V539" t="s">
        <v>603</v>
      </c>
      <c r="W539" s="135" t="s">
        <v>604</v>
      </c>
      <c r="AA539" t="str">
        <f>IFERROR(VLOOKUP(A539,'Capacity of production'!A:C,3,0),"")</f>
        <v/>
      </c>
    </row>
    <row r="540" spans="1:27" ht="15.75" thickBot="1">
      <c r="B540" s="75" t="s">
        <v>172</v>
      </c>
      <c r="C540" s="79" t="s">
        <v>173</v>
      </c>
      <c r="D540" s="93">
        <v>0.33600000000000002</v>
      </c>
      <c r="E540" s="31">
        <f t="shared" si="79"/>
        <v>3.7396800000000003</v>
      </c>
      <c r="F540" s="287"/>
      <c r="G540" s="37"/>
      <c r="H540" s="37" t="str">
        <f>VLOOKUP(B540,'Full Item list'!A:B,2,0)</f>
        <v>AK-010</v>
      </c>
      <c r="I540" s="37"/>
      <c r="J540" s="32" t="str">
        <f t="shared" si="80"/>
        <v>KG</v>
      </c>
      <c r="K540" s="37" t="str">
        <f>VLOOKUP(H540,'Full Item list'!B:O,14,0)</f>
        <v>KG</v>
      </c>
      <c r="L540" s="37"/>
      <c r="M540">
        <f t="shared" si="75"/>
        <v>0.22260000000000002</v>
      </c>
      <c r="N540" t="e">
        <f>VLOOKUP(B540,#REF!,9,0)</f>
        <v>#REF!</v>
      </c>
      <c r="O540">
        <f>IFERROR(IF(J540="KG",VLOOKUP(H540,'Cost Price New'!D:E,2,0),VLOOKUP('BOMs setting'!H540,'Cost Price New'!D:I,6,0)),VLOOKUP(H540,A:R,18,0))</f>
        <v>11.13</v>
      </c>
      <c r="P540">
        <v>50</v>
      </c>
      <c r="Q540">
        <v>222.13600000000002</v>
      </c>
      <c r="V540" t="s">
        <v>603</v>
      </c>
      <c r="W540" s="135" t="s">
        <v>604</v>
      </c>
      <c r="AA540" t="str">
        <f>IFERROR(VLOOKUP(A540,'Capacity of production'!A:C,3,0),"")</f>
        <v/>
      </c>
    </row>
    <row r="541" spans="1:27" ht="15.75" thickBot="1">
      <c r="B541" s="41" t="s">
        <v>310</v>
      </c>
      <c r="C541" s="42" t="s">
        <v>312</v>
      </c>
      <c r="D541" s="43"/>
      <c r="E541" s="44"/>
      <c r="F541" s="45"/>
      <c r="G541" s="32"/>
      <c r="H541" s="32" t="str">
        <f>VLOOKUP(B541,'Full Item list'!A:B,2,0)</f>
        <v>LAB/OH-Mortar</v>
      </c>
      <c r="I541" s="32"/>
      <c r="J541" s="32" t="str">
        <f t="shared" si="80"/>
        <v>H</v>
      </c>
      <c r="K541" s="32" t="str">
        <f>VLOOKUP(H541,'Full Item list'!B:O,14,0)</f>
        <v>H</v>
      </c>
      <c r="L541" s="32"/>
      <c r="O541">
        <f>IFERROR(IF(J541="KG",VLOOKUP(H541,'Cost Price New'!D:E,2,0),VLOOKUP('BOMs setting'!H541,'Cost Price New'!D:I,6,0)),VLOOKUP(H541,A:R,18,0))</f>
        <v>491.06624039126103</v>
      </c>
      <c r="V541" t="s">
        <v>603</v>
      </c>
      <c r="W541" s="135" t="s">
        <v>604</v>
      </c>
      <c r="AA541" t="str">
        <f>IFERROR(VLOOKUP(A541,'Capacity of production'!A:C,3,0),"")</f>
        <v/>
      </c>
    </row>
    <row r="542" spans="1:27" ht="15">
      <c r="B542" s="54"/>
      <c r="C542" s="55"/>
      <c r="D542" s="56"/>
      <c r="E542" s="56" t="s">
        <v>466</v>
      </c>
      <c r="F542" s="56">
        <f>SUM(E535:E541)</f>
        <v>634.75178000000005</v>
      </c>
      <c r="G542" s="55"/>
      <c r="H542" s="55"/>
      <c r="I542" s="55"/>
      <c r="J542" s="55"/>
      <c r="K542" s="55"/>
      <c r="L542" s="55"/>
      <c r="V542" t="s">
        <v>603</v>
      </c>
      <c r="W542" s="135" t="s">
        <v>604</v>
      </c>
      <c r="AA542" t="str">
        <f>IFERROR(VLOOKUP(A542,'Capacity of production'!A:C,3,0),"")</f>
        <v/>
      </c>
    </row>
    <row r="543" spans="1:27" ht="15.75" thickBot="1">
      <c r="B543" s="84"/>
      <c r="C543" s="55"/>
      <c r="D543" s="55"/>
      <c r="E543" s="56"/>
      <c r="F543" s="55"/>
      <c r="G543" s="55"/>
      <c r="H543" s="55"/>
      <c r="I543" s="55"/>
      <c r="J543" s="55"/>
      <c r="K543" s="55"/>
      <c r="L543" s="55"/>
      <c r="V543" t="s">
        <v>603</v>
      </c>
      <c r="W543" s="135" t="s">
        <v>604</v>
      </c>
      <c r="AA543" t="str">
        <f>IFERROR(VLOOKUP(A543,'Capacity of production'!A:C,3,0),"")</f>
        <v/>
      </c>
    </row>
    <row r="544" spans="1:27" ht="16.5" thickBot="1">
      <c r="A544" t="str">
        <f>B544</f>
        <v>SPMO003</v>
      </c>
      <c r="B544" s="66" t="s">
        <v>244</v>
      </c>
      <c r="C544" s="288" t="str">
        <f>VLOOKUP(A544,'All products'!A:B,2,0)</f>
        <v>ADITIVO T-3</v>
      </c>
      <c r="D544" s="288"/>
      <c r="E544" s="288"/>
      <c r="F544" s="289"/>
      <c r="G544" s="122">
        <f>SUM(D546:D547)</f>
        <v>5.1429999999999998</v>
      </c>
      <c r="H544" s="21" t="str">
        <f>VLOOKUP(B544,'Full Item list'!A:B,2,0)</f>
        <v>SPMO003</v>
      </c>
      <c r="I544" s="21">
        <f>VLOOKUP(H544,'Full Item list'!B:J,9,0)</f>
        <v>1</v>
      </c>
      <c r="J544" s="21"/>
      <c r="K544" s="21" t="str">
        <f>VLOOKUP(H544,'Full Item list'!B:O,14,0)</f>
        <v>KG</v>
      </c>
      <c r="L544" s="21"/>
      <c r="M544" t="e">
        <f t="shared" si="75"/>
        <v>#N/A</v>
      </c>
      <c r="N544" t="e">
        <f>VLOOKUP(B544,#REF!,9,0)</f>
        <v>#REF!</v>
      </c>
      <c r="O544" t="e">
        <f>IF(J544="KG",VLOOKUP(H544,'Cost Price New'!D:E,2,0),VLOOKUP('BOMs setting'!H544,'Cost Price New'!D:I,6,0))</f>
        <v>#N/A</v>
      </c>
      <c r="P544">
        <v>200</v>
      </c>
      <c r="Q544" s="131">
        <f>SUM(D546:D547)</f>
        <v>5.1429999999999998</v>
      </c>
      <c r="R544">
        <f ca="1">OFFSET(F544,MATCH("Total Cost:",E544:E594,0)-1,0,1,1)/G544</f>
        <v>2.7209002527707562</v>
      </c>
      <c r="U544" t="str">
        <f>VLOOKUP(H544,'Full Item list'!B:D,3,0)</f>
        <v>Component</v>
      </c>
      <c r="V544" t="s">
        <v>603</v>
      </c>
      <c r="W544" s="135" t="s">
        <v>604</v>
      </c>
      <c r="X544" t="s">
        <v>633</v>
      </c>
      <c r="AA544" t="str">
        <f>IFERROR(VLOOKUP(A544,'Capacity of production'!A:C,3,0),"")</f>
        <v/>
      </c>
    </row>
    <row r="545" spans="1:27" ht="15" thickBot="1">
      <c r="B545" s="23" t="s">
        <v>319</v>
      </c>
      <c r="C545" s="69" t="s">
        <v>320</v>
      </c>
      <c r="D545" s="70" t="s">
        <v>321</v>
      </c>
      <c r="E545" s="70" t="s">
        <v>322</v>
      </c>
      <c r="F545" s="26" t="s">
        <v>323</v>
      </c>
      <c r="G545" s="27"/>
      <c r="H545" s="27"/>
      <c r="I545" s="27"/>
      <c r="J545" s="27"/>
      <c r="K545" s="27"/>
      <c r="L545" s="27"/>
      <c r="V545" t="s">
        <v>603</v>
      </c>
      <c r="W545" s="135" t="s">
        <v>604</v>
      </c>
      <c r="AA545" t="str">
        <f>IFERROR(VLOOKUP(A545,'Capacity of production'!A:C,3,0),"")</f>
        <v/>
      </c>
    </row>
    <row r="546" spans="1:27" ht="15.75" thickBot="1">
      <c r="B546" s="80" t="s">
        <v>168</v>
      </c>
      <c r="C546" s="89" t="s">
        <v>169</v>
      </c>
      <c r="D546" s="97">
        <v>5.0999999999999996</v>
      </c>
      <c r="E546" s="31">
        <f>O546*D546</f>
        <v>13.514999999999999</v>
      </c>
      <c r="F546" s="285"/>
      <c r="G546" s="32"/>
      <c r="H546" s="32" t="str">
        <f>VLOOKUP(B546,'Full Item list'!A:B,2,0)</f>
        <v>AP-010</v>
      </c>
      <c r="I546" s="32"/>
      <c r="J546" s="32" t="str">
        <f t="shared" ref="J546:J548" si="81">K546</f>
        <v>KG</v>
      </c>
      <c r="K546" s="32" t="str">
        <f>VLOOKUP(H546,'Full Item list'!B:O,14,0)</f>
        <v>KG</v>
      </c>
      <c r="L546" s="32"/>
      <c r="M546">
        <f t="shared" si="75"/>
        <v>0.13250000000000001</v>
      </c>
      <c r="N546" t="e">
        <f>VLOOKUP(B546,#REF!,9,0)</f>
        <v>#REF!</v>
      </c>
      <c r="O546">
        <f>IFERROR(IF(J546="KG",VLOOKUP(H546,'Cost Price New'!D:E,2,0),VLOOKUP('BOMs setting'!H546,'Cost Price New'!D:I,6,0)),VLOOKUP(H546,A:R,18,0))</f>
        <v>2.65</v>
      </c>
      <c r="P546">
        <v>20</v>
      </c>
      <c r="Q546">
        <v>5.1429999999999998</v>
      </c>
      <c r="V546" t="s">
        <v>603</v>
      </c>
      <c r="W546" s="135" t="s">
        <v>604</v>
      </c>
      <c r="AA546" t="str">
        <f>IFERROR(VLOOKUP(A546,'Capacity of production'!A:C,3,0),"")</f>
        <v/>
      </c>
    </row>
    <row r="547" spans="1:27" ht="15.75" thickBot="1">
      <c r="B547" s="75" t="s">
        <v>172</v>
      </c>
      <c r="C547" s="79" t="s">
        <v>173</v>
      </c>
      <c r="D547" s="98">
        <v>4.2999999999999997E-2</v>
      </c>
      <c r="E547" s="31">
        <f>O547*D547</f>
        <v>0.47859000000000002</v>
      </c>
      <c r="F547" s="306"/>
      <c r="G547" s="32"/>
      <c r="H547" s="32" t="str">
        <f>VLOOKUP(B547,'Full Item list'!A:B,2,0)</f>
        <v>AK-010</v>
      </c>
      <c r="I547" s="32"/>
      <c r="J547" s="32" t="str">
        <f t="shared" si="81"/>
        <v>KG</v>
      </c>
      <c r="K547" s="32" t="str">
        <f>VLOOKUP(H547,'Full Item list'!B:O,14,0)</f>
        <v>KG</v>
      </c>
      <c r="L547" s="32"/>
      <c r="M547">
        <f t="shared" si="75"/>
        <v>0.22260000000000002</v>
      </c>
      <c r="N547" t="e">
        <f>VLOOKUP(B547,#REF!,9,0)</f>
        <v>#REF!</v>
      </c>
      <c r="O547">
        <f>IFERROR(IF(J547="KG",VLOOKUP(H547,'Cost Price New'!D:E,2,0),VLOOKUP('BOMs setting'!H547,'Cost Price New'!D:I,6,0)),VLOOKUP(H547,A:R,18,0))</f>
        <v>11.13</v>
      </c>
      <c r="P547">
        <v>50</v>
      </c>
      <c r="Q547">
        <v>5.1429999999999998</v>
      </c>
      <c r="V547" t="s">
        <v>603</v>
      </c>
      <c r="W547" s="135" t="s">
        <v>604</v>
      </c>
      <c r="AA547" t="str">
        <f>IFERROR(VLOOKUP(A547,'Capacity of production'!A:C,3,0),"")</f>
        <v/>
      </c>
    </row>
    <row r="548" spans="1:27" ht="15.75" thickBot="1">
      <c r="B548" s="41" t="s">
        <v>310</v>
      </c>
      <c r="C548" s="42" t="s">
        <v>312</v>
      </c>
      <c r="D548" s="43"/>
      <c r="E548" s="44"/>
      <c r="F548" s="45"/>
      <c r="G548" s="32"/>
      <c r="H548" s="32" t="str">
        <f>VLOOKUP(B548,'Full Item list'!A:B,2,0)</f>
        <v>LAB/OH-Mortar</v>
      </c>
      <c r="I548" s="32"/>
      <c r="J548" s="32" t="str">
        <f t="shared" si="81"/>
        <v>H</v>
      </c>
      <c r="K548" s="32" t="str">
        <f>VLOOKUP(H548,'Full Item list'!B:O,14,0)</f>
        <v>H</v>
      </c>
      <c r="L548" s="32"/>
      <c r="O548">
        <f>IFERROR(IF(J548="KG",VLOOKUP(H548,'Cost Price New'!D:E,2,0),VLOOKUP('BOMs setting'!H548,'Cost Price New'!D:I,6,0)),VLOOKUP(H548,A:R,18,0))</f>
        <v>491.06624039126103</v>
      </c>
      <c r="V548" t="s">
        <v>603</v>
      </c>
      <c r="W548" s="135" t="s">
        <v>604</v>
      </c>
      <c r="AA548" t="str">
        <f>IFERROR(VLOOKUP(A548,'Capacity of production'!A:C,3,0),"")</f>
        <v/>
      </c>
    </row>
    <row r="549" spans="1:27" ht="15">
      <c r="B549" s="54"/>
      <c r="C549" s="55"/>
      <c r="D549" s="56"/>
      <c r="E549" s="56" t="s">
        <v>466</v>
      </c>
      <c r="F549" s="56">
        <f>SUM(E546:E548)</f>
        <v>13.993589999999999</v>
      </c>
      <c r="G549" s="55"/>
      <c r="H549" s="55"/>
      <c r="I549" s="55"/>
      <c r="J549" s="55"/>
      <c r="K549" s="55"/>
      <c r="L549" s="55"/>
      <c r="V549" t="s">
        <v>603</v>
      </c>
      <c r="W549" s="135" t="s">
        <v>604</v>
      </c>
      <c r="AA549" t="str">
        <f>IFERROR(VLOOKUP(A549,'Capacity of production'!A:C,3,0),"")</f>
        <v/>
      </c>
    </row>
    <row r="550" spans="1:27" ht="15.75" thickBot="1">
      <c r="B550" s="96"/>
      <c r="C550" s="55"/>
      <c r="D550" s="55"/>
      <c r="E550" s="56"/>
      <c r="F550" s="55"/>
      <c r="G550" s="55"/>
      <c r="H550" s="55"/>
      <c r="I550" s="55"/>
      <c r="J550" s="55"/>
      <c r="K550" s="55"/>
      <c r="L550" s="55"/>
      <c r="V550" t="s">
        <v>603</v>
      </c>
      <c r="W550" s="135" t="s">
        <v>604</v>
      </c>
      <c r="AA550" t="str">
        <f>IFERROR(VLOOKUP(A550,'Capacity of production'!A:C,3,0),"")</f>
        <v/>
      </c>
    </row>
    <row r="551" spans="1:27" ht="16.5" thickBot="1">
      <c r="A551" t="str">
        <f>B551</f>
        <v>SPMO006</v>
      </c>
      <c r="B551" s="20" t="s">
        <v>246</v>
      </c>
      <c r="C551" s="288" t="str">
        <f>VLOOKUP(A551,'All products'!A:B,2,0)</f>
        <v>ADITIVO T-6</v>
      </c>
      <c r="D551" s="288"/>
      <c r="E551" s="288"/>
      <c r="F551" s="289"/>
      <c r="G551" s="122">
        <f>SUM(D553:D556)</f>
        <v>45.1</v>
      </c>
      <c r="H551" s="21" t="str">
        <f>VLOOKUP(B551,'Full Item list'!A:B,2,0)</f>
        <v>SPMO006</v>
      </c>
      <c r="I551" s="21">
        <f>VLOOKUP(H551,'Full Item list'!B:J,9,0)</f>
        <v>1</v>
      </c>
      <c r="J551" s="21"/>
      <c r="K551" s="21" t="str">
        <f>VLOOKUP(H551,'Full Item list'!B:O,14,0)</f>
        <v>KG</v>
      </c>
      <c r="L551" s="21"/>
      <c r="M551" t="e">
        <f t="shared" si="75"/>
        <v>#N/A</v>
      </c>
      <c r="N551" t="e">
        <f>VLOOKUP(B551,#REF!,9,0)</f>
        <v>#REF!</v>
      </c>
      <c r="O551" t="e">
        <f>IF(J551="KG",VLOOKUP(H551,'Cost Price New'!D:E,2,0),VLOOKUP('BOMs setting'!H551,'Cost Price New'!D:I,6,0))</f>
        <v>#N/A</v>
      </c>
      <c r="P551">
        <v>200</v>
      </c>
      <c r="Q551" s="131">
        <f>SUM(D553:D556)</f>
        <v>45.1</v>
      </c>
      <c r="R551">
        <f ca="1">OFFSET(F551,MATCH("Total Cost:",E551:E601,0)-1,0,1,1)/G551</f>
        <v>1.5553549889135256</v>
      </c>
      <c r="U551" t="str">
        <f>VLOOKUP(H551,'Full Item list'!B:D,3,0)</f>
        <v>Component</v>
      </c>
      <c r="V551" t="s">
        <v>603</v>
      </c>
      <c r="W551" s="135" t="s">
        <v>604</v>
      </c>
      <c r="X551" t="s">
        <v>633</v>
      </c>
      <c r="AA551" t="str">
        <f>IFERROR(VLOOKUP(A551,'Capacity of production'!A:C,3,0),"")</f>
        <v/>
      </c>
    </row>
    <row r="552" spans="1:27" ht="15" thickBot="1">
      <c r="B552" s="23" t="s">
        <v>319</v>
      </c>
      <c r="C552" s="69" t="s">
        <v>320</v>
      </c>
      <c r="D552" s="70" t="s">
        <v>321</v>
      </c>
      <c r="E552" s="70" t="s">
        <v>322</v>
      </c>
      <c r="F552" s="26" t="s">
        <v>323</v>
      </c>
      <c r="G552" s="27"/>
      <c r="H552" s="27"/>
      <c r="I552" s="27"/>
      <c r="J552" s="27"/>
      <c r="K552" s="27"/>
      <c r="L552" s="27"/>
      <c r="V552" t="s">
        <v>603</v>
      </c>
      <c r="W552" s="135" t="s">
        <v>604</v>
      </c>
      <c r="AA552" t="str">
        <f>IFERROR(VLOOKUP(A552,'Capacity of production'!A:C,3,0),"")</f>
        <v/>
      </c>
    </row>
    <row r="553" spans="1:27" ht="15.75" thickBot="1">
      <c r="B553" s="80" t="s">
        <v>356</v>
      </c>
      <c r="C553" s="89" t="s">
        <v>253</v>
      </c>
      <c r="D553" s="97">
        <v>4.0830000000000002</v>
      </c>
      <c r="E553" s="31">
        <f>O553*D553</f>
        <v>12.657300000000001</v>
      </c>
      <c r="F553" s="285"/>
      <c r="G553" s="32"/>
      <c r="H553" s="32" t="str">
        <f>VLOOKUP(B553,'Full Item list'!A:B,2,0)</f>
        <v>SS-250</v>
      </c>
      <c r="I553" s="32"/>
      <c r="J553" s="32" t="str">
        <f t="shared" ref="J553:J557" si="82">K553</f>
        <v>KG</v>
      </c>
      <c r="K553" s="32" t="str">
        <f>VLOOKUP(H553,'Full Item list'!B:O,14,0)</f>
        <v>KG</v>
      </c>
      <c r="L553" s="32"/>
      <c r="M553">
        <f t="shared" si="75"/>
        <v>0.124</v>
      </c>
      <c r="N553" t="e">
        <f>VLOOKUP(B553,#REF!,9,0)</f>
        <v>#REF!</v>
      </c>
      <c r="O553">
        <f>IFERROR(IF(J553="KG",VLOOKUP(H553,'Cost Price New'!D:E,2,0),VLOOKUP('BOMs setting'!H553,'Cost Price New'!D:I,6,0)),VLOOKUP(H553,A:R,18,0))</f>
        <v>3.1</v>
      </c>
      <c r="P553">
        <v>25</v>
      </c>
      <c r="Q553">
        <v>45.1</v>
      </c>
      <c r="V553" t="s">
        <v>603</v>
      </c>
      <c r="W553" s="135" t="s">
        <v>604</v>
      </c>
      <c r="AA553" t="str">
        <f>IFERROR(VLOOKUP(A553,'Capacity of production'!A:C,3,0),"")</f>
        <v/>
      </c>
    </row>
    <row r="554" spans="1:27" ht="15.75" thickBot="1">
      <c r="B554" s="67" t="s">
        <v>172</v>
      </c>
      <c r="C554" s="78" t="s">
        <v>173</v>
      </c>
      <c r="D554" s="99">
        <v>1.7000000000000001E-2</v>
      </c>
      <c r="E554" s="31">
        <f>O554*D554</f>
        <v>0.18921000000000002</v>
      </c>
      <c r="F554" s="286"/>
      <c r="G554" s="36"/>
      <c r="H554" s="36" t="str">
        <f>VLOOKUP(B554,'Full Item list'!A:B,2,0)</f>
        <v>AK-010</v>
      </c>
      <c r="I554" s="36"/>
      <c r="J554" s="32" t="str">
        <f t="shared" si="82"/>
        <v>KG</v>
      </c>
      <c r="K554" s="36" t="str">
        <f>VLOOKUP(H554,'Full Item list'!B:O,14,0)</f>
        <v>KG</v>
      </c>
      <c r="L554" s="36"/>
      <c r="M554">
        <f t="shared" si="75"/>
        <v>0.22260000000000002</v>
      </c>
      <c r="N554" t="e">
        <f>VLOOKUP(B554,#REF!,9,0)</f>
        <v>#REF!</v>
      </c>
      <c r="O554">
        <f>IFERROR(IF(J554="KG",VLOOKUP(H554,'Cost Price New'!D:E,2,0),VLOOKUP('BOMs setting'!H554,'Cost Price New'!D:I,6,0)),VLOOKUP(H554,A:R,18,0))</f>
        <v>11.13</v>
      </c>
      <c r="P554">
        <v>50</v>
      </c>
      <c r="Q554">
        <v>45.1</v>
      </c>
      <c r="V554" t="s">
        <v>603</v>
      </c>
      <c r="W554" s="135" t="s">
        <v>604</v>
      </c>
      <c r="AA554" t="str">
        <f>IFERROR(VLOOKUP(A554,'Capacity of production'!A:C,3,0),"")</f>
        <v/>
      </c>
    </row>
    <row r="555" spans="1:27" ht="15.75" thickBot="1">
      <c r="B555" s="71" t="s">
        <v>351</v>
      </c>
      <c r="C555" s="77" t="s">
        <v>96</v>
      </c>
      <c r="D555" s="100">
        <v>40</v>
      </c>
      <c r="E555" s="31">
        <f>O555*D555</f>
        <v>48.8</v>
      </c>
      <c r="F555" s="286"/>
      <c r="G555" s="36"/>
      <c r="H555" s="36" t="str">
        <f>VLOOKUP(B555,'Full Item list'!A:B,2,0)</f>
        <v>CE-060</v>
      </c>
      <c r="I555" s="36"/>
      <c r="J555" s="32" t="s">
        <v>639</v>
      </c>
      <c r="K555" s="36" t="str">
        <f>VLOOKUP(H555,'Full Item list'!B:O,14,0)</f>
        <v>PCS</v>
      </c>
      <c r="L555" s="36"/>
      <c r="M555">
        <f t="shared" si="75"/>
        <v>6.0999999999999999E-2</v>
      </c>
      <c r="N555" t="e">
        <f>VLOOKUP(B555,#REF!,9,0)</f>
        <v>#REF!</v>
      </c>
      <c r="O555">
        <f>IFERROR(IF(J555="KG",VLOOKUP(H555,'Cost Price New'!D:E,2,0),VLOOKUP('BOMs setting'!H555,'Cost Price New'!D:I,6,0)),VLOOKUP(H555,A:R,18,0))</f>
        <v>1.22</v>
      </c>
      <c r="P555">
        <v>20</v>
      </c>
      <c r="Q555">
        <v>45.1</v>
      </c>
      <c r="V555" t="s">
        <v>603</v>
      </c>
      <c r="W555" s="135" t="s">
        <v>604</v>
      </c>
      <c r="AA555" t="str">
        <f>IFERROR(VLOOKUP(A555,'Capacity of production'!A:C,3,0),"")</f>
        <v/>
      </c>
    </row>
    <row r="556" spans="1:27" ht="15.75" thickBot="1">
      <c r="B556" s="75" t="s">
        <v>181</v>
      </c>
      <c r="C556" s="79" t="s">
        <v>182</v>
      </c>
      <c r="D556" s="98">
        <v>1</v>
      </c>
      <c r="E556" s="31">
        <f>O556*D556</f>
        <v>8.5</v>
      </c>
      <c r="F556" s="307"/>
      <c r="G556" s="36"/>
      <c r="H556" s="36" t="str">
        <f>VLOOKUP(B556,'Full Item list'!A:B,2,0)</f>
        <v>AR-010</v>
      </c>
      <c r="I556" s="36"/>
      <c r="J556" s="32" t="str">
        <f t="shared" si="82"/>
        <v>KG</v>
      </c>
      <c r="K556" s="36" t="str">
        <f>VLOOKUP(H556,'Full Item list'!B:O,14,0)</f>
        <v>KG</v>
      </c>
      <c r="L556" s="36"/>
      <c r="M556">
        <f t="shared" si="75"/>
        <v>0.34</v>
      </c>
      <c r="N556" t="e">
        <f>VLOOKUP(B556,#REF!,9,0)</f>
        <v>#REF!</v>
      </c>
      <c r="O556">
        <f>IFERROR(IF(J556="KG",VLOOKUP(H556,'Cost Price New'!D:E,2,0),VLOOKUP('BOMs setting'!H556,'Cost Price New'!D:I,6,0)),VLOOKUP(H556,A:R,18,0))</f>
        <v>8.5</v>
      </c>
      <c r="P556">
        <v>25</v>
      </c>
      <c r="Q556">
        <v>45.1</v>
      </c>
      <c r="V556" t="s">
        <v>603</v>
      </c>
      <c r="W556" s="135" t="s">
        <v>604</v>
      </c>
      <c r="AA556" t="str">
        <f>IFERROR(VLOOKUP(A556,'Capacity of production'!A:C,3,0),"")</f>
        <v/>
      </c>
    </row>
    <row r="557" spans="1:27" ht="15.75" thickBot="1">
      <c r="B557" s="41" t="s">
        <v>310</v>
      </c>
      <c r="C557" s="42" t="s">
        <v>312</v>
      </c>
      <c r="D557" s="43"/>
      <c r="E557" s="44"/>
      <c r="F557" s="45"/>
      <c r="G557" s="32"/>
      <c r="H557" s="32" t="str">
        <f>VLOOKUP(B557,'Full Item list'!A:B,2,0)</f>
        <v>LAB/OH-Mortar</v>
      </c>
      <c r="I557" s="32"/>
      <c r="J557" s="32" t="str">
        <f t="shared" si="82"/>
        <v>H</v>
      </c>
      <c r="K557" s="32" t="str">
        <f>VLOOKUP(H557,'Full Item list'!B:O,14,0)</f>
        <v>H</v>
      </c>
      <c r="L557" s="32"/>
      <c r="O557">
        <f>IFERROR(IF(J557="KG",VLOOKUP(H557,'Cost Price New'!D:E,2,0),VLOOKUP('BOMs setting'!H557,'Cost Price New'!D:I,6,0)),VLOOKUP(H557,A:R,18,0))</f>
        <v>491.06624039126103</v>
      </c>
      <c r="V557" t="s">
        <v>603</v>
      </c>
      <c r="W557" s="135" t="s">
        <v>604</v>
      </c>
      <c r="AA557" t="str">
        <f>IFERROR(VLOOKUP(A557,'Capacity of production'!A:C,3,0),"")</f>
        <v/>
      </c>
    </row>
    <row r="558" spans="1:27" ht="15">
      <c r="B558" s="54"/>
      <c r="C558" s="55"/>
      <c r="D558" s="56"/>
      <c r="E558" s="56" t="s">
        <v>466</v>
      </c>
      <c r="F558" s="56">
        <f>SUM(E553:E557)</f>
        <v>70.146510000000006</v>
      </c>
      <c r="G558" s="55"/>
      <c r="H558" s="55"/>
      <c r="I558" s="55"/>
      <c r="J558" s="55"/>
      <c r="K558" s="55"/>
      <c r="L558" s="55"/>
      <c r="V558" t="s">
        <v>603</v>
      </c>
      <c r="W558" s="135" t="s">
        <v>604</v>
      </c>
      <c r="AA558" t="str">
        <f>IFERROR(VLOOKUP(A558,'Capacity of production'!A:C,3,0),"")</f>
        <v/>
      </c>
    </row>
    <row r="559" spans="1:27" ht="15.75" thickBot="1">
      <c r="B559" s="84"/>
      <c r="C559" s="55"/>
      <c r="D559" s="55"/>
      <c r="E559" s="56"/>
      <c r="F559" s="55"/>
      <c r="G559" s="55"/>
      <c r="H559" s="55"/>
      <c r="I559" s="55"/>
      <c r="J559" s="55"/>
      <c r="K559" s="55"/>
      <c r="L559" s="55"/>
      <c r="V559" t="s">
        <v>603</v>
      </c>
      <c r="W559" s="135" t="s">
        <v>604</v>
      </c>
      <c r="AA559" t="str">
        <f>IFERROR(VLOOKUP(A559,'Capacity of production'!A:C,3,0),"")</f>
        <v/>
      </c>
    </row>
    <row r="560" spans="1:27" ht="16.5" thickBot="1">
      <c r="A560" t="str">
        <f>B560</f>
        <v>SPMO008</v>
      </c>
      <c r="B560" s="20" t="s">
        <v>248</v>
      </c>
      <c r="C560" s="288" t="str">
        <f>VLOOKUP(A560,'All products'!A:B,2,0)</f>
        <v>ADITIVO T-8</v>
      </c>
      <c r="D560" s="288"/>
      <c r="E560" s="288"/>
      <c r="F560" s="289"/>
      <c r="G560" s="121">
        <f>SUM(D562:D563)</f>
        <v>2.6</v>
      </c>
      <c r="H560" s="21" t="str">
        <f>VLOOKUP(B560,'Full Item list'!A:B,2,0)</f>
        <v>SPMO008</v>
      </c>
      <c r="I560" s="21">
        <f>VLOOKUP(H560,'Full Item list'!B:J,9,0)</f>
        <v>1</v>
      </c>
      <c r="J560" s="21"/>
      <c r="K560" s="21" t="str">
        <f>VLOOKUP(H560,'Full Item list'!B:O,14,0)</f>
        <v>KG</v>
      </c>
      <c r="L560" s="21"/>
      <c r="M560" t="e">
        <f t="shared" si="75"/>
        <v>#N/A</v>
      </c>
      <c r="N560" t="e">
        <f>VLOOKUP(B560,#REF!,9,0)</f>
        <v>#REF!</v>
      </c>
      <c r="O560" t="e">
        <f>IF(J560="KG",VLOOKUP(H560,'Cost Price New'!D:E,2,0),VLOOKUP('BOMs setting'!H560,'Cost Price New'!D:I,6,0))</f>
        <v>#N/A</v>
      </c>
      <c r="P560">
        <v>200</v>
      </c>
      <c r="Q560" s="130">
        <f>SUM(D562:D563)</f>
        <v>2.6</v>
      </c>
      <c r="R560">
        <f ca="1">OFFSET(F560,MATCH("Total Cost:",E560:E610,0)-1,0,1,1)/G560</f>
        <v>12.361538461538462</v>
      </c>
      <c r="U560" t="str">
        <f>VLOOKUP(H560,'Full Item list'!B:D,3,0)</f>
        <v>Component</v>
      </c>
      <c r="V560" t="s">
        <v>603</v>
      </c>
      <c r="W560" s="135" t="s">
        <v>604</v>
      </c>
      <c r="X560" t="s">
        <v>633</v>
      </c>
      <c r="AA560" t="str">
        <f>IFERROR(VLOOKUP(A560,'Capacity of production'!A:C,3,0),"")</f>
        <v/>
      </c>
    </row>
    <row r="561" spans="2:27" ht="15" thickBot="1">
      <c r="B561" s="23" t="s">
        <v>319</v>
      </c>
      <c r="C561" s="69" t="s">
        <v>320</v>
      </c>
      <c r="D561" s="70" t="s">
        <v>321</v>
      </c>
      <c r="E561" s="70" t="s">
        <v>322</v>
      </c>
      <c r="F561" s="26" t="s">
        <v>323</v>
      </c>
      <c r="G561" s="27"/>
      <c r="H561" s="27"/>
      <c r="I561" s="27"/>
      <c r="J561" s="27"/>
      <c r="K561" s="27"/>
      <c r="L561" s="27"/>
      <c r="V561" t="s">
        <v>603</v>
      </c>
      <c r="W561" s="135" t="s">
        <v>604</v>
      </c>
      <c r="AA561" t="str">
        <f>IFERROR(VLOOKUP(A561,'Capacity of production'!A:C,3,0),"")</f>
        <v/>
      </c>
    </row>
    <row r="562" spans="2:27" ht="15.75" thickBot="1">
      <c r="B562" s="80" t="s">
        <v>170</v>
      </c>
      <c r="C562" s="89" t="s">
        <v>171</v>
      </c>
      <c r="D562" s="90">
        <v>1.6</v>
      </c>
      <c r="E562" s="31">
        <f>O562*D562</f>
        <v>22.64</v>
      </c>
      <c r="F562" s="285"/>
      <c r="G562" s="32"/>
      <c r="H562" s="32" t="str">
        <f>VLOOKUP(B562,'Full Item list'!A:B,2,0)</f>
        <v>AA-020</v>
      </c>
      <c r="I562" s="32"/>
      <c r="J562" s="32" t="str">
        <f t="shared" ref="J562:J564" si="83">K562</f>
        <v>KG</v>
      </c>
      <c r="K562" s="32" t="str">
        <f>VLOOKUP(H562,'Full Item list'!B:O,14,0)</f>
        <v>KG</v>
      </c>
      <c r="L562" s="32"/>
      <c r="M562">
        <f t="shared" si="75"/>
        <v>0.70750000000000002</v>
      </c>
      <c r="N562" t="e">
        <f>VLOOKUP(B562,#REF!,9,0)</f>
        <v>#REF!</v>
      </c>
      <c r="O562">
        <f>IFERROR(IF(J562="KG",VLOOKUP(H562,'Cost Price New'!D:E,2,0),VLOOKUP('BOMs setting'!H562,'Cost Price New'!D:I,6,0)),VLOOKUP(H562,A:R,18,0))</f>
        <v>14.15</v>
      </c>
      <c r="P562">
        <v>20</v>
      </c>
      <c r="Q562">
        <v>2.6</v>
      </c>
      <c r="V562" t="s">
        <v>603</v>
      </c>
      <c r="W562" s="135" t="s">
        <v>604</v>
      </c>
      <c r="AA562" t="str">
        <f>IFERROR(VLOOKUP(A562,'Capacity of production'!A:C,3,0),"")</f>
        <v/>
      </c>
    </row>
    <row r="563" spans="2:27" ht="15.75" thickBot="1">
      <c r="B563" s="75" t="s">
        <v>360</v>
      </c>
      <c r="C563" s="79" t="s">
        <v>268</v>
      </c>
      <c r="D563" s="93">
        <v>1</v>
      </c>
      <c r="E563" s="31">
        <f>O563*D563</f>
        <v>9.5</v>
      </c>
      <c r="F563" s="306"/>
      <c r="G563" s="32"/>
      <c r="H563" s="32" t="str">
        <f>VLOOKUP(B563,'Full Item list'!A:B,2,0)</f>
        <v>TP-340</v>
      </c>
      <c r="I563" s="32"/>
      <c r="J563" s="32" t="str">
        <f t="shared" si="83"/>
        <v>KG</v>
      </c>
      <c r="K563" s="32" t="str">
        <f>VLOOKUP(H563,'Full Item list'!B:O,14,0)</f>
        <v>KG</v>
      </c>
      <c r="L563" s="32"/>
      <c r="M563">
        <f t="shared" si="75"/>
        <v>0.47499999999999998</v>
      </c>
      <c r="N563" t="e">
        <f>VLOOKUP(B563,#REF!,9,0)</f>
        <v>#REF!</v>
      </c>
      <c r="O563">
        <f>IFERROR(IF(J563="KG",VLOOKUP(H563,'Cost Price New'!D:E,2,0),VLOOKUP('BOMs setting'!H563,'Cost Price New'!D:I,6,0)),VLOOKUP(H563,A:R,18,0))</f>
        <v>9.5</v>
      </c>
      <c r="P563">
        <v>20</v>
      </c>
      <c r="Q563">
        <v>2.6</v>
      </c>
      <c r="V563" t="s">
        <v>603</v>
      </c>
      <c r="W563" s="135" t="s">
        <v>604</v>
      </c>
      <c r="AA563" t="str">
        <f>IFERROR(VLOOKUP(A563,'Capacity of production'!A:C,3,0),"")</f>
        <v/>
      </c>
    </row>
    <row r="564" spans="2:27" ht="15.75" thickBot="1">
      <c r="B564" s="41" t="s">
        <v>310</v>
      </c>
      <c r="C564" s="42" t="s">
        <v>312</v>
      </c>
      <c r="D564" s="43"/>
      <c r="E564" s="44"/>
      <c r="F564" s="45"/>
      <c r="G564" s="32"/>
      <c r="H564" s="32" t="str">
        <f>VLOOKUP(B564,'Full Item list'!A:B,2,0)</f>
        <v>LAB/OH-Mortar</v>
      </c>
      <c r="I564" s="32"/>
      <c r="J564" s="32" t="str">
        <f t="shared" si="83"/>
        <v>H</v>
      </c>
      <c r="K564" s="32" t="str">
        <f>VLOOKUP(H564,'Full Item list'!B:O,14,0)</f>
        <v>H</v>
      </c>
      <c r="L564" s="32"/>
      <c r="O564">
        <f>IFERROR(IF(J564="KG",VLOOKUP(H564,'Cost Price New'!D:E,2,0),VLOOKUP('BOMs setting'!H564,'Cost Price New'!D:I,6,0)),VLOOKUP(H564,A:R,18,0))</f>
        <v>491.06624039126103</v>
      </c>
      <c r="AA564" t="str">
        <f>IFERROR(VLOOKUP(A564,'Capacity of production'!A:C,3,0),"")</f>
        <v/>
      </c>
    </row>
    <row r="565" spans="2:27" ht="15">
      <c r="B565" s="54"/>
      <c r="C565" s="55"/>
      <c r="D565" s="56"/>
      <c r="E565" s="56" t="s">
        <v>466</v>
      </c>
      <c r="F565" s="56">
        <f>SUM(E562:E564)</f>
        <v>32.14</v>
      </c>
      <c r="G565" s="55"/>
      <c r="H565" s="55"/>
      <c r="I565" s="55"/>
      <c r="J565" s="55"/>
      <c r="K565" s="55"/>
      <c r="L565" s="55"/>
    </row>
  </sheetData>
  <autoFilter ref="A1:AB565"/>
  <mergeCells count="96">
    <mergeCell ref="C134:F134"/>
    <mergeCell ref="C162:F162"/>
    <mergeCell ref="C176:F176"/>
    <mergeCell ref="C141:F141"/>
    <mergeCell ref="C148:F148"/>
    <mergeCell ref="C509:F509"/>
    <mergeCell ref="C110:F110"/>
    <mergeCell ref="F112:F117"/>
    <mergeCell ref="C122:F122"/>
    <mergeCell ref="F124:F129"/>
    <mergeCell ref="F178:F188"/>
    <mergeCell ref="F398:F404"/>
    <mergeCell ref="C311:F311"/>
    <mergeCell ref="F313:F319"/>
    <mergeCell ref="C328:F328"/>
    <mergeCell ref="F330:F332"/>
    <mergeCell ref="C341:F341"/>
    <mergeCell ref="F343:F350"/>
    <mergeCell ref="C359:F359"/>
    <mergeCell ref="F361:F369"/>
    <mergeCell ref="C378:F378"/>
    <mergeCell ref="F562:F563"/>
    <mergeCell ref="C514:F514"/>
    <mergeCell ref="F516:F522"/>
    <mergeCell ref="C526:F526"/>
    <mergeCell ref="F528:F529"/>
    <mergeCell ref="C533:F533"/>
    <mergeCell ref="F535:F540"/>
    <mergeCell ref="C544:F544"/>
    <mergeCell ref="F546:F547"/>
    <mergeCell ref="C551:F551"/>
    <mergeCell ref="F553:F556"/>
    <mergeCell ref="C560:F560"/>
    <mergeCell ref="F380:F387"/>
    <mergeCell ref="C396:F396"/>
    <mergeCell ref="C391:F391"/>
    <mergeCell ref="F298:F302"/>
    <mergeCell ref="F190:F197"/>
    <mergeCell ref="C201:F201"/>
    <mergeCell ref="C214:F214"/>
    <mergeCell ref="F216:F217"/>
    <mergeCell ref="C240:F240"/>
    <mergeCell ref="C246:F246"/>
    <mergeCell ref="C221:F221"/>
    <mergeCell ref="F223:F224"/>
    <mergeCell ref="C228:F228"/>
    <mergeCell ref="C234:F234"/>
    <mergeCell ref="C263:F263"/>
    <mergeCell ref="F265:F270"/>
    <mergeCell ref="C296:F296"/>
    <mergeCell ref="C2:F2"/>
    <mergeCell ref="C50:F50"/>
    <mergeCell ref="F52:F60"/>
    <mergeCell ref="C89:F89"/>
    <mergeCell ref="F91:F93"/>
    <mergeCell ref="C65:F65"/>
    <mergeCell ref="F67:F75"/>
    <mergeCell ref="C34:F34"/>
    <mergeCell ref="C80:F80"/>
    <mergeCell ref="F82:F84"/>
    <mergeCell ref="C18:F18"/>
    <mergeCell ref="C258:F258"/>
    <mergeCell ref="C274:F274"/>
    <mergeCell ref="C98:F98"/>
    <mergeCell ref="F100:F105"/>
    <mergeCell ref="C291:F291"/>
    <mergeCell ref="C155:F155"/>
    <mergeCell ref="C169:F169"/>
    <mergeCell ref="C252:F252"/>
    <mergeCell ref="C207:F207"/>
    <mergeCell ref="F209:F210"/>
    <mergeCell ref="C280:F280"/>
    <mergeCell ref="F282:F287"/>
    <mergeCell ref="C306:F306"/>
    <mergeCell ref="C323:F323"/>
    <mergeCell ref="C336:F336"/>
    <mergeCell ref="C354:F354"/>
    <mergeCell ref="C373:F373"/>
    <mergeCell ref="C408:F408"/>
    <mergeCell ref="C426:F426"/>
    <mergeCell ref="C440:F440"/>
    <mergeCell ref="C456:F456"/>
    <mergeCell ref="C473:F473"/>
    <mergeCell ref="F498:F505"/>
    <mergeCell ref="C413:F413"/>
    <mergeCell ref="F415:F422"/>
    <mergeCell ref="C431:F431"/>
    <mergeCell ref="F433:F436"/>
    <mergeCell ref="C445:F445"/>
    <mergeCell ref="F447:F452"/>
    <mergeCell ref="C461:F461"/>
    <mergeCell ref="F463:F469"/>
    <mergeCell ref="C478:F478"/>
    <mergeCell ref="F480:F487"/>
    <mergeCell ref="C496:F496"/>
    <mergeCell ref="C491:F49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3"/>
    </sheetView>
  </sheetViews>
  <sheetFormatPr defaultRowHeight="14.25"/>
  <sheetData>
    <row r="1" spans="1:3" ht="15.75" thickBot="1">
      <c r="A1" s="269" t="s">
        <v>319</v>
      </c>
      <c r="B1" s="270" t="s">
        <v>727</v>
      </c>
      <c r="C1" s="271" t="s">
        <v>728</v>
      </c>
    </row>
    <row r="2" spans="1:3" ht="30">
      <c r="A2" s="272" t="s">
        <v>149</v>
      </c>
      <c r="B2" s="273" t="s">
        <v>729</v>
      </c>
      <c r="C2" s="274">
        <v>4000</v>
      </c>
    </row>
    <row r="3" spans="1:3" ht="30">
      <c r="A3" s="275" t="s">
        <v>152</v>
      </c>
      <c r="B3" s="276" t="s">
        <v>709</v>
      </c>
      <c r="C3" s="277">
        <v>4000</v>
      </c>
    </row>
    <row r="4" spans="1:3" ht="30">
      <c r="A4" s="275" t="s">
        <v>154</v>
      </c>
      <c r="B4" s="276" t="s">
        <v>730</v>
      </c>
      <c r="C4" s="277">
        <v>4000</v>
      </c>
    </row>
    <row r="5" spans="1:3" ht="30">
      <c r="A5" s="275" t="s">
        <v>155</v>
      </c>
      <c r="B5" s="276" t="s">
        <v>731</v>
      </c>
      <c r="C5" s="277">
        <v>4000</v>
      </c>
    </row>
    <row r="6" spans="1:3" ht="30">
      <c r="A6" s="275" t="s">
        <v>156</v>
      </c>
      <c r="B6" s="276" t="s">
        <v>732</v>
      </c>
      <c r="C6" s="277">
        <v>3000</v>
      </c>
    </row>
    <row r="7" spans="1:3" ht="30">
      <c r="A7" s="275" t="s">
        <v>157</v>
      </c>
      <c r="B7" s="276" t="s">
        <v>733</v>
      </c>
      <c r="C7" s="277">
        <v>3000</v>
      </c>
    </row>
    <row r="8" spans="1:3" ht="30">
      <c r="A8" s="275" t="s">
        <v>132</v>
      </c>
      <c r="B8" s="276" t="s">
        <v>734</v>
      </c>
      <c r="C8" s="277">
        <v>2000</v>
      </c>
    </row>
    <row r="9" spans="1:3" ht="30">
      <c r="A9" s="275" t="s">
        <v>162</v>
      </c>
      <c r="B9" s="276" t="s">
        <v>735</v>
      </c>
      <c r="C9" s="277">
        <v>1000</v>
      </c>
    </row>
    <row r="10" spans="1:3" ht="30">
      <c r="A10" s="275" t="s">
        <v>163</v>
      </c>
      <c r="B10" s="276" t="s">
        <v>736</v>
      </c>
      <c r="C10" s="277">
        <v>4000</v>
      </c>
    </row>
    <row r="11" spans="1:3" ht="45">
      <c r="A11" s="275" t="s">
        <v>151</v>
      </c>
      <c r="B11" s="276" t="s">
        <v>737</v>
      </c>
      <c r="C11" s="277">
        <v>3000</v>
      </c>
    </row>
    <row r="12" spans="1:3" ht="45">
      <c r="A12" s="275" t="s">
        <v>153</v>
      </c>
      <c r="B12" s="276" t="s">
        <v>738</v>
      </c>
      <c r="C12" s="277">
        <v>3000</v>
      </c>
    </row>
    <row r="13" spans="1:3" ht="30">
      <c r="A13" s="275" t="s">
        <v>158</v>
      </c>
      <c r="B13" s="276" t="s">
        <v>712</v>
      </c>
      <c r="C13" s="277">
        <v>1000</v>
      </c>
    </row>
    <row r="14" spans="1:3" ht="45">
      <c r="A14" s="275" t="s">
        <v>159</v>
      </c>
      <c r="B14" s="276" t="s">
        <v>739</v>
      </c>
      <c r="C14" s="277">
        <v>1000</v>
      </c>
    </row>
    <row r="15" spans="1:3" ht="45">
      <c r="A15" s="275" t="s">
        <v>160</v>
      </c>
      <c r="B15" s="276" t="s">
        <v>719</v>
      </c>
      <c r="C15" s="277">
        <v>1000</v>
      </c>
    </row>
    <row r="16" spans="1:3" ht="60">
      <c r="A16" s="275" t="s">
        <v>161</v>
      </c>
      <c r="B16" s="276" t="s">
        <v>740</v>
      </c>
      <c r="C16" s="277">
        <v>1000</v>
      </c>
    </row>
    <row r="17" spans="1:3" ht="30">
      <c r="A17" s="275" t="s">
        <v>43</v>
      </c>
      <c r="B17" s="276" t="s">
        <v>741</v>
      </c>
      <c r="C17" s="277">
        <v>100</v>
      </c>
    </row>
    <row r="18" spans="1:3" ht="30">
      <c r="A18" s="275" t="s">
        <v>61</v>
      </c>
      <c r="B18" s="276" t="s">
        <v>742</v>
      </c>
      <c r="C18" s="277">
        <v>325</v>
      </c>
    </row>
    <row r="19" spans="1:3" ht="30">
      <c r="A19" s="275" t="s">
        <v>63</v>
      </c>
      <c r="B19" s="276" t="s">
        <v>743</v>
      </c>
      <c r="C19" s="277">
        <v>600</v>
      </c>
    </row>
    <row r="20" spans="1:3" ht="60">
      <c r="A20" s="275" t="s">
        <v>205</v>
      </c>
      <c r="B20" s="276" t="s">
        <v>744</v>
      </c>
      <c r="C20" s="277">
        <v>10</v>
      </c>
    </row>
    <row r="21" spans="1:3" ht="60">
      <c r="A21" s="275" t="s">
        <v>206</v>
      </c>
      <c r="B21" s="276" t="s">
        <v>745</v>
      </c>
      <c r="C21" s="277">
        <v>42</v>
      </c>
    </row>
    <row r="22" spans="1:3" ht="75">
      <c r="A22" s="275" t="s">
        <v>207</v>
      </c>
      <c r="B22" s="276" t="s">
        <v>746</v>
      </c>
      <c r="C22" s="277">
        <v>98</v>
      </c>
    </row>
    <row r="23" spans="1:3" ht="45">
      <c r="A23" s="275" t="s">
        <v>212</v>
      </c>
      <c r="B23" s="276" t="s">
        <v>747</v>
      </c>
      <c r="C23" s="277">
        <v>50</v>
      </c>
    </row>
    <row r="24" spans="1:3" ht="45">
      <c r="A24" s="275" t="s">
        <v>210</v>
      </c>
      <c r="B24" s="276" t="s">
        <v>748</v>
      </c>
      <c r="C24" s="277">
        <v>100</v>
      </c>
    </row>
    <row r="25" spans="1:3" ht="45">
      <c r="A25" s="275" t="s">
        <v>211</v>
      </c>
      <c r="B25" s="276" t="s">
        <v>749</v>
      </c>
      <c r="C25" s="277">
        <v>250</v>
      </c>
    </row>
    <row r="26" spans="1:3" ht="45">
      <c r="A26" s="275" t="s">
        <v>213</v>
      </c>
      <c r="B26" s="276" t="s">
        <v>750</v>
      </c>
      <c r="C26" s="277">
        <v>46</v>
      </c>
    </row>
    <row r="27" spans="1:3" ht="45">
      <c r="A27" s="275" t="s">
        <v>214</v>
      </c>
      <c r="B27" s="276" t="s">
        <v>751</v>
      </c>
      <c r="C27" s="277">
        <v>60</v>
      </c>
    </row>
    <row r="28" spans="1:3" ht="45">
      <c r="A28" s="275" t="s">
        <v>215</v>
      </c>
      <c r="B28" s="276" t="s">
        <v>752</v>
      </c>
      <c r="C28" s="277">
        <v>75</v>
      </c>
    </row>
    <row r="29" spans="1:3" ht="45">
      <c r="A29" s="275" t="s">
        <v>216</v>
      </c>
      <c r="B29" s="276" t="s">
        <v>753</v>
      </c>
      <c r="C29" s="277">
        <v>34</v>
      </c>
    </row>
    <row r="30" spans="1:3" ht="45">
      <c r="A30" s="275" t="s">
        <v>217</v>
      </c>
      <c r="B30" s="276" t="s">
        <v>754</v>
      </c>
      <c r="C30" s="277">
        <v>40</v>
      </c>
    </row>
    <row r="31" spans="1:3" ht="45">
      <c r="A31" s="275" t="s">
        <v>218</v>
      </c>
      <c r="B31" s="276" t="s">
        <v>755</v>
      </c>
      <c r="C31" s="277">
        <v>50</v>
      </c>
    </row>
    <row r="32" spans="1:3" ht="45">
      <c r="A32" s="275" t="s">
        <v>208</v>
      </c>
      <c r="B32" s="276" t="s">
        <v>756</v>
      </c>
      <c r="C32" s="277">
        <v>34</v>
      </c>
    </row>
    <row r="33" spans="1:3" ht="45">
      <c r="A33" s="275" t="s">
        <v>209</v>
      </c>
      <c r="B33" s="276" t="s">
        <v>757</v>
      </c>
      <c r="C33" s="277">
        <v>40</v>
      </c>
    </row>
    <row r="34" spans="1:3" ht="45">
      <c r="A34" s="275" t="s">
        <v>227</v>
      </c>
      <c r="B34" s="276" t="s">
        <v>758</v>
      </c>
      <c r="C34" s="277">
        <v>50</v>
      </c>
    </row>
    <row r="35" spans="1:3" ht="45">
      <c r="A35" s="275" t="s">
        <v>224</v>
      </c>
      <c r="B35" s="276" t="s">
        <v>759</v>
      </c>
      <c r="C35" s="277">
        <v>80</v>
      </c>
    </row>
    <row r="36" spans="1:3" ht="60">
      <c r="A36" s="275" t="s">
        <v>219</v>
      </c>
      <c r="B36" s="276" t="s">
        <v>760</v>
      </c>
      <c r="C36" s="277">
        <v>25</v>
      </c>
    </row>
    <row r="37" spans="1:3" ht="60">
      <c r="A37" s="275" t="s">
        <v>225</v>
      </c>
      <c r="B37" s="276" t="s">
        <v>761</v>
      </c>
      <c r="C37" s="278">
        <v>250</v>
      </c>
    </row>
    <row r="38" spans="1:3" ht="60">
      <c r="A38" s="275" t="s">
        <v>226</v>
      </c>
      <c r="B38" s="276" t="s">
        <v>762</v>
      </c>
      <c r="C38" s="278">
        <v>1000</v>
      </c>
    </row>
    <row r="39" spans="1:3" ht="30">
      <c r="A39" s="275" t="s">
        <v>196</v>
      </c>
      <c r="B39" s="276" t="s">
        <v>763</v>
      </c>
      <c r="C39" s="277">
        <v>2000</v>
      </c>
    </row>
    <row r="40" spans="1:3" ht="30">
      <c r="A40" s="275" t="s">
        <v>104</v>
      </c>
      <c r="B40" s="276" t="s">
        <v>764</v>
      </c>
      <c r="C40" s="277">
        <v>131</v>
      </c>
    </row>
    <row r="41" spans="1:3" ht="30">
      <c r="A41" s="275" t="s">
        <v>105</v>
      </c>
      <c r="B41" s="276" t="s">
        <v>765</v>
      </c>
      <c r="C41" s="277">
        <v>175</v>
      </c>
    </row>
    <row r="42" spans="1:3" ht="30">
      <c r="A42" s="275" t="s">
        <v>106</v>
      </c>
      <c r="B42" s="276" t="s">
        <v>766</v>
      </c>
      <c r="C42" s="277">
        <v>261</v>
      </c>
    </row>
    <row r="43" spans="1:3" ht="30.75" thickBot="1">
      <c r="A43" s="279" t="s">
        <v>130</v>
      </c>
      <c r="B43" s="280" t="s">
        <v>767</v>
      </c>
      <c r="C43" s="281">
        <v>568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sheetData>
    <row r="1" spans="1:2">
      <c r="A1">
        <f ca="1">OFFSET(D3,3,-2,1,1)</f>
        <v>4</v>
      </c>
    </row>
    <row r="6" spans="1:2">
      <c r="B6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C1" workbookViewId="0">
      <selection activeCell="W25" sqref="W25"/>
    </sheetView>
  </sheetViews>
  <sheetFormatPr defaultRowHeight="14.25"/>
  <cols>
    <col min="1" max="1" width="13.875" customWidth="1"/>
    <col min="2" max="2" width="11.875" customWidth="1"/>
    <col min="3" max="3" width="19.625" customWidth="1"/>
    <col min="5" max="5" width="5.375" customWidth="1"/>
    <col min="7" max="8" width="0" hidden="1" customWidth="1"/>
    <col min="15" max="15" width="0" hidden="1" customWidth="1"/>
    <col min="17" max="17" width="22.875" customWidth="1"/>
  </cols>
  <sheetData>
    <row r="1" spans="1:13" ht="16.5" thickBot="1">
      <c r="A1" s="20" t="s">
        <v>155</v>
      </c>
      <c r="B1" s="288" t="s">
        <v>468</v>
      </c>
      <c r="C1" s="288"/>
      <c r="D1" s="288"/>
      <c r="E1" s="289"/>
      <c r="F1" s="21">
        <v>40</v>
      </c>
      <c r="G1" s="21" t="s">
        <v>155</v>
      </c>
      <c r="H1" s="21">
        <v>25</v>
      </c>
      <c r="I1" s="129" t="s">
        <v>85</v>
      </c>
      <c r="J1" s="21"/>
    </row>
    <row r="2" spans="1:13" ht="15" thickBot="1">
      <c r="A2" s="68" t="s">
        <v>319</v>
      </c>
      <c r="B2" s="69" t="s">
        <v>320</v>
      </c>
      <c r="C2" s="70" t="s">
        <v>321</v>
      </c>
      <c r="D2" s="70" t="s">
        <v>322</v>
      </c>
      <c r="E2" s="26" t="s">
        <v>323</v>
      </c>
      <c r="F2" s="27"/>
      <c r="G2" s="27"/>
      <c r="H2" s="27"/>
      <c r="I2" s="27"/>
      <c r="J2" s="27"/>
    </row>
    <row r="3" spans="1:13" ht="15.75" thickBot="1">
      <c r="A3" s="71" t="s">
        <v>343</v>
      </c>
      <c r="B3" s="77" t="s">
        <v>101</v>
      </c>
      <c r="C3" s="73">
        <v>360</v>
      </c>
      <c r="D3" s="31">
        <f t="shared" ref="D3:D8" si="0">C3*K3</f>
        <v>0</v>
      </c>
      <c r="E3" s="290"/>
      <c r="F3">
        <f t="shared" ref="F3:F8" si="1">C3/$C$11*1000</f>
        <v>355.09962517261789</v>
      </c>
      <c r="G3" s="36" t="s">
        <v>100</v>
      </c>
      <c r="H3" s="36"/>
      <c r="I3" s="36" t="s">
        <v>150</v>
      </c>
      <c r="J3" s="36">
        <v>5</v>
      </c>
    </row>
    <row r="4" spans="1:13" ht="15.75" thickBot="1">
      <c r="A4" s="67" t="s">
        <v>338</v>
      </c>
      <c r="B4" s="78" t="s">
        <v>117</v>
      </c>
      <c r="C4" s="34">
        <v>150</v>
      </c>
      <c r="D4" s="31">
        <f t="shared" si="0"/>
        <v>0</v>
      </c>
      <c r="E4" s="291"/>
      <c r="F4">
        <f t="shared" si="1"/>
        <v>147.95817715525743</v>
      </c>
      <c r="G4" s="36" t="s">
        <v>116</v>
      </c>
      <c r="H4" s="36"/>
      <c r="I4" s="36" t="s">
        <v>150</v>
      </c>
      <c r="J4" s="36">
        <v>5</v>
      </c>
    </row>
    <row r="5" spans="1:13" ht="15.75" thickBot="1">
      <c r="A5" s="67" t="s">
        <v>339</v>
      </c>
      <c r="B5" s="78" t="s">
        <v>119</v>
      </c>
      <c r="C5" s="34">
        <v>150</v>
      </c>
      <c r="D5" s="31">
        <f t="shared" si="0"/>
        <v>0</v>
      </c>
      <c r="E5" s="291"/>
      <c r="F5">
        <f t="shared" si="1"/>
        <v>147.95817715525743</v>
      </c>
      <c r="G5" s="36" t="s">
        <v>118</v>
      </c>
      <c r="H5" s="36"/>
      <c r="I5" s="36" t="s">
        <v>150</v>
      </c>
      <c r="J5" s="36">
        <v>5</v>
      </c>
    </row>
    <row r="6" spans="1:13" ht="15.75" thickBot="1">
      <c r="A6" s="67" t="s">
        <v>341</v>
      </c>
      <c r="B6" s="78" t="s">
        <v>121</v>
      </c>
      <c r="C6" s="34">
        <v>150</v>
      </c>
      <c r="D6" s="31">
        <f t="shared" si="0"/>
        <v>0</v>
      </c>
      <c r="E6" s="291"/>
      <c r="F6">
        <f t="shared" si="1"/>
        <v>147.95817715525743</v>
      </c>
      <c r="G6" s="36" t="s">
        <v>120</v>
      </c>
      <c r="H6" s="36"/>
      <c r="I6" s="36" t="s">
        <v>150</v>
      </c>
      <c r="J6" s="36">
        <v>5</v>
      </c>
    </row>
    <row r="7" spans="1:13" ht="15.75" thickBot="1">
      <c r="A7" s="67" t="s">
        <v>347</v>
      </c>
      <c r="B7" s="78" t="s">
        <v>123</v>
      </c>
      <c r="C7" s="34">
        <v>200</v>
      </c>
      <c r="D7" s="31">
        <f t="shared" si="0"/>
        <v>0</v>
      </c>
      <c r="E7" s="291"/>
      <c r="F7">
        <f t="shared" si="1"/>
        <v>197.27756954034328</v>
      </c>
      <c r="G7" s="36" t="s">
        <v>122</v>
      </c>
      <c r="H7" s="36"/>
      <c r="I7" s="36" t="s">
        <v>150</v>
      </c>
      <c r="J7" s="36">
        <v>5</v>
      </c>
    </row>
    <row r="8" spans="1:13" ht="15.75" thickBot="1">
      <c r="A8" s="75" t="s">
        <v>239</v>
      </c>
      <c r="B8" s="79" t="s">
        <v>240</v>
      </c>
      <c r="C8" s="39">
        <v>3.8</v>
      </c>
      <c r="D8" s="31">
        <f t="shared" si="0"/>
        <v>0</v>
      </c>
      <c r="E8" s="292"/>
      <c r="F8">
        <f t="shared" si="1"/>
        <v>3.7482738212665221</v>
      </c>
      <c r="G8" s="36" t="s">
        <v>239</v>
      </c>
      <c r="H8" s="36"/>
      <c r="I8" s="36" t="s">
        <v>150</v>
      </c>
      <c r="J8" s="36">
        <v>0.1</v>
      </c>
    </row>
    <row r="9" spans="1:13" ht="30.75" thickBot="1">
      <c r="A9" s="41" t="s">
        <v>310</v>
      </c>
      <c r="B9" s="42" t="s">
        <v>312</v>
      </c>
      <c r="C9" s="43"/>
      <c r="D9" s="44"/>
      <c r="E9" s="45"/>
      <c r="F9" s="32"/>
      <c r="G9" s="32" t="s">
        <v>310</v>
      </c>
      <c r="H9" s="32"/>
      <c r="I9" s="32" t="s">
        <v>89</v>
      </c>
      <c r="J9" s="32"/>
    </row>
    <row r="11" spans="1:13" ht="15">
      <c r="B11" s="124" t="s">
        <v>469</v>
      </c>
      <c r="C11">
        <f>SUM(C3:C8)</f>
        <v>1013.8</v>
      </c>
      <c r="F11" t="s">
        <v>470</v>
      </c>
      <c r="G11">
        <f>40*25</f>
        <v>1000</v>
      </c>
    </row>
    <row r="13" spans="1:13" ht="15">
      <c r="A13" t="s">
        <v>471</v>
      </c>
      <c r="B13" s="124" t="s">
        <v>472</v>
      </c>
      <c r="C13">
        <f>C11*5</f>
        <v>5069</v>
      </c>
      <c r="F13">
        <f>ROUNDDOWN(C13/25,0)</f>
        <v>202</v>
      </c>
      <c r="H13">
        <f>C13-(F13*25)</f>
        <v>19</v>
      </c>
      <c r="J13">
        <f>C13-25*F13</f>
        <v>19</v>
      </c>
    </row>
    <row r="14" spans="1:13" ht="15">
      <c r="A14" t="s">
        <v>473</v>
      </c>
      <c r="B14" s="124" t="s">
        <v>478</v>
      </c>
      <c r="C14">
        <v>5069</v>
      </c>
      <c r="D14" s="125" t="s">
        <v>474</v>
      </c>
      <c r="E14">
        <f>C14+H13</f>
        <v>5088</v>
      </c>
      <c r="F14">
        <f>ROUNDDOWN(E14/25,0)</f>
        <v>203</v>
      </c>
      <c r="H14">
        <f>E14-(F14*25)</f>
        <v>13</v>
      </c>
      <c r="J14">
        <f>E14-25*F14</f>
        <v>13</v>
      </c>
    </row>
    <row r="15" spans="1:13" ht="15">
      <c r="A15" t="s">
        <v>475</v>
      </c>
      <c r="B15" s="124" t="s">
        <v>476</v>
      </c>
      <c r="C15">
        <f>C11*10</f>
        <v>10138</v>
      </c>
      <c r="D15" s="125" t="s">
        <v>477</v>
      </c>
      <c r="E15">
        <f>C15+13</f>
        <v>10151</v>
      </c>
      <c r="F15">
        <f>ROUNDDOWN(E15/25,0)</f>
        <v>406</v>
      </c>
      <c r="H15">
        <f>E15-(F15*25)</f>
        <v>1</v>
      </c>
    </row>
    <row r="16" spans="1:13">
      <c r="M16">
        <v>13</v>
      </c>
    </row>
    <row r="17" spans="1:21">
      <c r="J17">
        <f>J18*5</f>
        <v>5069</v>
      </c>
      <c r="P17">
        <f>(M16+J17)/25</f>
        <v>203.28</v>
      </c>
    </row>
    <row r="18" spans="1:21" ht="15" thickBot="1">
      <c r="C18" t="s">
        <v>498</v>
      </c>
      <c r="J18">
        <v>1013.8</v>
      </c>
      <c r="K18" t="s">
        <v>498</v>
      </c>
    </row>
    <row r="19" spans="1:21" ht="16.5" thickBot="1">
      <c r="A19" s="66" t="s">
        <v>239</v>
      </c>
      <c r="B19" s="288" t="s">
        <v>479</v>
      </c>
      <c r="C19" s="288"/>
      <c r="D19" s="288"/>
      <c r="E19" s="289"/>
      <c r="I19" s="20" t="s">
        <v>480</v>
      </c>
      <c r="J19" s="288" t="s">
        <v>482</v>
      </c>
      <c r="K19" s="288"/>
      <c r="L19" s="288"/>
      <c r="M19" s="289"/>
      <c r="P19" s="20" t="s">
        <v>155</v>
      </c>
      <c r="Q19" s="288" t="s">
        <v>468</v>
      </c>
      <c r="R19" s="288"/>
      <c r="S19" s="288"/>
      <c r="T19" s="289"/>
      <c r="U19" t="s">
        <v>483</v>
      </c>
    </row>
    <row r="20" spans="1:21" ht="15" thickBot="1">
      <c r="A20" s="23" t="s">
        <v>319</v>
      </c>
      <c r="B20" s="69" t="s">
        <v>320</v>
      </c>
      <c r="C20" s="70" t="s">
        <v>321</v>
      </c>
      <c r="D20" s="70" t="s">
        <v>322</v>
      </c>
      <c r="E20" s="26" t="s">
        <v>323</v>
      </c>
      <c r="I20" s="68" t="s">
        <v>319</v>
      </c>
      <c r="J20" s="69" t="s">
        <v>320</v>
      </c>
      <c r="K20" s="70" t="s">
        <v>321</v>
      </c>
      <c r="L20" s="70" t="s">
        <v>322</v>
      </c>
      <c r="M20" s="26" t="s">
        <v>323</v>
      </c>
      <c r="P20" s="68" t="s">
        <v>319</v>
      </c>
      <c r="Q20" s="69" t="s">
        <v>320</v>
      </c>
      <c r="R20" s="70" t="s">
        <v>321</v>
      </c>
      <c r="S20" s="70" t="s">
        <v>322</v>
      </c>
      <c r="T20" s="26" t="s">
        <v>323</v>
      </c>
    </row>
    <row r="21" spans="1:21" ht="15.75" thickBot="1">
      <c r="A21" s="80" t="s">
        <v>356</v>
      </c>
      <c r="B21" s="89" t="s">
        <v>253</v>
      </c>
      <c r="C21" s="90">
        <v>450</v>
      </c>
      <c r="D21" s="31">
        <f>C21*K21</f>
        <v>162000</v>
      </c>
      <c r="E21" s="285"/>
      <c r="I21" s="71" t="s">
        <v>343</v>
      </c>
      <c r="J21" s="77" t="s">
        <v>101</v>
      </c>
      <c r="K21" s="73">
        <v>360</v>
      </c>
      <c r="L21" s="31">
        <f t="shared" ref="L21:L26" si="2">K21*S21</f>
        <v>0</v>
      </c>
      <c r="M21" s="126"/>
      <c r="P21" s="20" t="s">
        <v>480</v>
      </c>
      <c r="Q21" s="77" t="s">
        <v>481</v>
      </c>
      <c r="R21" s="73">
        <v>25</v>
      </c>
      <c r="S21" s="31">
        <f>R21*Z21</f>
        <v>0</v>
      </c>
      <c r="T21" s="126"/>
    </row>
    <row r="22" spans="1:21" ht="15.75" thickBot="1">
      <c r="A22" s="75" t="s">
        <v>172</v>
      </c>
      <c r="B22" s="79" t="s">
        <v>173</v>
      </c>
      <c r="C22" s="93">
        <v>1.85</v>
      </c>
      <c r="D22" s="31">
        <f>C22*K22</f>
        <v>277.5</v>
      </c>
      <c r="E22" s="306"/>
      <c r="I22" s="67" t="s">
        <v>338</v>
      </c>
      <c r="J22" s="78" t="s">
        <v>117</v>
      </c>
      <c r="K22" s="34">
        <v>150</v>
      </c>
      <c r="L22" s="31">
        <f t="shared" si="2"/>
        <v>0</v>
      </c>
      <c r="M22" s="127"/>
    </row>
    <row r="23" spans="1:21" ht="15.75" thickBot="1">
      <c r="A23" s="41" t="s">
        <v>310</v>
      </c>
      <c r="B23" s="42" t="s">
        <v>312</v>
      </c>
      <c r="C23" s="43"/>
      <c r="D23" s="44"/>
      <c r="E23" s="45"/>
      <c r="I23" s="67" t="s">
        <v>339</v>
      </c>
      <c r="J23" s="78" t="s">
        <v>119</v>
      </c>
      <c r="K23" s="34">
        <v>150</v>
      </c>
      <c r="L23" s="31">
        <f t="shared" si="2"/>
        <v>0</v>
      </c>
      <c r="M23" s="127"/>
    </row>
    <row r="24" spans="1:21" ht="15.75" thickBot="1">
      <c r="I24" s="67" t="s">
        <v>341</v>
      </c>
      <c r="J24" s="78" t="s">
        <v>121</v>
      </c>
      <c r="K24" s="34">
        <v>150</v>
      </c>
      <c r="L24" s="31">
        <f t="shared" si="2"/>
        <v>0</v>
      </c>
      <c r="M24" s="127"/>
      <c r="P24">
        <v>204</v>
      </c>
      <c r="Q24" t="s">
        <v>499</v>
      </c>
    </row>
    <row r="25" spans="1:21" ht="15.75" thickBot="1">
      <c r="I25" s="67" t="s">
        <v>347</v>
      </c>
      <c r="J25" s="78" t="s">
        <v>123</v>
      </c>
      <c r="K25" s="34">
        <v>200</v>
      </c>
      <c r="L25" s="31">
        <f t="shared" si="2"/>
        <v>0</v>
      </c>
      <c r="M25" s="127"/>
    </row>
    <row r="26" spans="1:21" ht="15.75" thickBot="1">
      <c r="I26" s="75" t="s">
        <v>239</v>
      </c>
      <c r="J26" s="79" t="s">
        <v>240</v>
      </c>
      <c r="K26" s="39">
        <v>3.8</v>
      </c>
      <c r="L26" s="31">
        <f t="shared" si="2"/>
        <v>0</v>
      </c>
      <c r="M26" s="128"/>
    </row>
  </sheetData>
  <mergeCells count="6">
    <mergeCell ref="Q19:T19"/>
    <mergeCell ref="B1:E1"/>
    <mergeCell ref="E3:E8"/>
    <mergeCell ref="B19:E19"/>
    <mergeCell ref="E21:E22"/>
    <mergeCell ref="J19:M19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55"/>
  <sheetViews>
    <sheetView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A134" sqref="A134"/>
    </sheetView>
  </sheetViews>
  <sheetFormatPr defaultRowHeight="14.25"/>
  <cols>
    <col min="1" max="1" width="30.625" customWidth="1"/>
    <col min="2" max="2" width="12.375" customWidth="1"/>
    <col min="3" max="3" width="30.625" customWidth="1"/>
    <col min="4" max="4" width="21.75" customWidth="1"/>
    <col min="5" max="5" width="18.75" customWidth="1"/>
  </cols>
  <sheetData>
    <row r="1" spans="1:45" ht="15">
      <c r="A1" s="107" t="s">
        <v>460</v>
      </c>
      <c r="B1" s="106" t="s">
        <v>0</v>
      </c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363</v>
      </c>
      <c r="O1" s="107" t="s">
        <v>12</v>
      </c>
      <c r="P1" s="107" t="s">
        <v>364</v>
      </c>
      <c r="Q1" s="107" t="s">
        <v>14</v>
      </c>
      <c r="R1" s="107" t="s">
        <v>15</v>
      </c>
      <c r="S1" s="107" t="s">
        <v>16</v>
      </c>
      <c r="T1" s="107" t="s">
        <v>17</v>
      </c>
      <c r="U1" s="107" t="s">
        <v>18</v>
      </c>
      <c r="V1" s="107" t="s">
        <v>19</v>
      </c>
      <c r="W1" s="107" t="s">
        <v>20</v>
      </c>
      <c r="X1" s="107" t="s">
        <v>21</v>
      </c>
      <c r="Y1" s="107" t="s">
        <v>22</v>
      </c>
      <c r="Z1" s="107" t="s">
        <v>23</v>
      </c>
      <c r="AA1" s="107" t="s">
        <v>24</v>
      </c>
      <c r="AB1" s="107" t="s">
        <v>25</v>
      </c>
      <c r="AC1" s="107" t="s">
        <v>26</v>
      </c>
      <c r="AD1" s="107" t="s">
        <v>27</v>
      </c>
      <c r="AE1" s="107" t="s">
        <v>28</v>
      </c>
      <c r="AF1" s="107" t="s">
        <v>29</v>
      </c>
      <c r="AG1" s="107" t="s">
        <v>30</v>
      </c>
      <c r="AH1" s="107" t="s">
        <v>31</v>
      </c>
      <c r="AI1" s="107" t="s">
        <v>32</v>
      </c>
      <c r="AJ1" s="107" t="s">
        <v>33</v>
      </c>
      <c r="AK1" s="107" t="s">
        <v>34</v>
      </c>
      <c r="AL1" s="107" t="s">
        <v>35</v>
      </c>
      <c r="AM1" s="107" t="s">
        <v>36</v>
      </c>
      <c r="AN1" s="107" t="s">
        <v>37</v>
      </c>
      <c r="AO1" s="107" t="s">
        <v>38</v>
      </c>
      <c r="AP1" s="107" t="s">
        <v>39</v>
      </c>
      <c r="AQ1" s="107" t="s">
        <v>40</v>
      </c>
      <c r="AR1" s="107" t="s">
        <v>41</v>
      </c>
      <c r="AS1" s="108" t="s">
        <v>42</v>
      </c>
    </row>
    <row r="2" spans="1:45">
      <c r="A2" s="117" t="s">
        <v>43</v>
      </c>
      <c r="B2" s="102" t="s">
        <v>43</v>
      </c>
      <c r="C2" s="109" t="s">
        <v>365</v>
      </c>
      <c r="D2" s="110" t="s">
        <v>44</v>
      </c>
      <c r="E2" s="109" t="s">
        <v>44</v>
      </c>
      <c r="F2" s="110" t="s">
        <v>45</v>
      </c>
      <c r="G2" s="109" t="s">
        <v>366</v>
      </c>
      <c r="H2" s="110" t="s">
        <v>47</v>
      </c>
      <c r="I2" s="110" t="s">
        <v>47</v>
      </c>
      <c r="J2" s="13">
        <v>5</v>
      </c>
      <c r="K2" s="13">
        <v>0</v>
      </c>
      <c r="L2" s="110" t="s">
        <v>48</v>
      </c>
      <c r="M2" s="110" t="s">
        <v>48</v>
      </c>
      <c r="N2" s="110" t="s">
        <v>48</v>
      </c>
      <c r="O2" s="13" t="s">
        <v>367</v>
      </c>
      <c r="P2" s="13"/>
      <c r="Q2" s="13" t="s">
        <v>368</v>
      </c>
      <c r="R2" s="13" t="s">
        <v>368</v>
      </c>
      <c r="S2" s="110" t="s">
        <v>47</v>
      </c>
      <c r="T2" s="110" t="s">
        <v>51</v>
      </c>
      <c r="U2" s="13"/>
      <c r="V2" s="110" t="s">
        <v>52</v>
      </c>
      <c r="W2" s="110" t="s">
        <v>53</v>
      </c>
      <c r="X2" s="110" t="s">
        <v>47</v>
      </c>
      <c r="Y2" s="110" t="s">
        <v>54</v>
      </c>
      <c r="Z2" s="110" t="s">
        <v>55</v>
      </c>
      <c r="AA2" s="110" t="s">
        <v>56</v>
      </c>
      <c r="AB2" s="110" t="s">
        <v>47</v>
      </c>
      <c r="AC2" s="110" t="s">
        <v>47</v>
      </c>
      <c r="AD2" s="110" t="s">
        <v>47</v>
      </c>
      <c r="AE2" s="110" t="s">
        <v>47</v>
      </c>
      <c r="AF2" s="13"/>
      <c r="AG2" s="13" t="s">
        <v>57</v>
      </c>
      <c r="AH2" s="13" t="s">
        <v>58</v>
      </c>
      <c r="AI2" s="13" t="s">
        <v>59</v>
      </c>
      <c r="AJ2" s="13"/>
      <c r="AK2" s="13" t="s">
        <v>57</v>
      </c>
      <c r="AL2" s="13" t="s">
        <v>58</v>
      </c>
      <c r="AM2" s="13" t="s">
        <v>59</v>
      </c>
      <c r="AN2" s="13"/>
      <c r="AO2" s="110" t="s">
        <v>57</v>
      </c>
      <c r="AP2" s="110" t="s">
        <v>60</v>
      </c>
      <c r="AQ2" s="13">
        <v>0</v>
      </c>
      <c r="AR2" s="13">
        <v>32</v>
      </c>
      <c r="AS2" s="18"/>
    </row>
    <row r="3" spans="1:45">
      <c r="A3" s="117" t="s">
        <v>61</v>
      </c>
      <c r="B3" s="103" t="s">
        <v>61</v>
      </c>
      <c r="C3" s="109" t="s">
        <v>369</v>
      </c>
      <c r="D3" s="111" t="s">
        <v>44</v>
      </c>
      <c r="E3" s="111" t="s">
        <v>44</v>
      </c>
      <c r="F3" s="111" t="s">
        <v>45</v>
      </c>
      <c r="G3" s="111" t="s">
        <v>62</v>
      </c>
      <c r="H3" s="111" t="s">
        <v>47</v>
      </c>
      <c r="I3" s="111" t="s">
        <v>47</v>
      </c>
      <c r="J3" s="12">
        <v>25</v>
      </c>
      <c r="K3" s="14">
        <v>0</v>
      </c>
      <c r="L3" s="111" t="s">
        <v>48</v>
      </c>
      <c r="M3" s="111" t="s">
        <v>48</v>
      </c>
      <c r="N3" s="111" t="s">
        <v>48</v>
      </c>
      <c r="O3" s="14" t="s">
        <v>367</v>
      </c>
      <c r="P3" s="14"/>
      <c r="Q3" s="14" t="s">
        <v>368</v>
      </c>
      <c r="R3" s="14" t="s">
        <v>368</v>
      </c>
      <c r="S3" s="111" t="s">
        <v>47</v>
      </c>
      <c r="T3" s="111" t="s">
        <v>51</v>
      </c>
      <c r="U3" s="14"/>
      <c r="V3" s="111" t="s">
        <v>52</v>
      </c>
      <c r="W3" s="111" t="s">
        <v>53</v>
      </c>
      <c r="X3" s="111" t="s">
        <v>47</v>
      </c>
      <c r="Y3" s="111" t="s">
        <v>54</v>
      </c>
      <c r="Z3" s="111" t="s">
        <v>55</v>
      </c>
      <c r="AA3" s="111" t="s">
        <v>56</v>
      </c>
      <c r="AB3" s="111" t="s">
        <v>47</v>
      </c>
      <c r="AC3" s="111" t="s">
        <v>47</v>
      </c>
      <c r="AD3" s="111" t="s">
        <v>47</v>
      </c>
      <c r="AE3" s="111" t="s">
        <v>47</v>
      </c>
      <c r="AF3" s="14"/>
      <c r="AG3" s="14" t="s">
        <v>57</v>
      </c>
      <c r="AH3" s="14" t="s">
        <v>58</v>
      </c>
      <c r="AI3" s="14" t="s">
        <v>59</v>
      </c>
      <c r="AJ3" s="14"/>
      <c r="AK3" s="14" t="s">
        <v>57</v>
      </c>
      <c r="AL3" s="14" t="s">
        <v>58</v>
      </c>
      <c r="AM3" s="14" t="s">
        <v>59</v>
      </c>
      <c r="AN3" s="14"/>
      <c r="AO3" s="111" t="s">
        <v>57</v>
      </c>
      <c r="AP3" s="111" t="s">
        <v>60</v>
      </c>
      <c r="AQ3" s="14">
        <v>5</v>
      </c>
      <c r="AR3" s="14">
        <v>2.0028999999999999</v>
      </c>
      <c r="AS3" s="19"/>
    </row>
    <row r="4" spans="1:45">
      <c r="A4" s="117" t="s">
        <v>63</v>
      </c>
      <c r="B4" s="102" t="s">
        <v>63</v>
      </c>
      <c r="C4" s="109" t="s">
        <v>370</v>
      </c>
      <c r="D4" s="110" t="s">
        <v>44</v>
      </c>
      <c r="E4" s="109" t="s">
        <v>44</v>
      </c>
      <c r="F4" s="110" t="s">
        <v>45</v>
      </c>
      <c r="G4" s="109" t="s">
        <v>366</v>
      </c>
      <c r="H4" s="110" t="s">
        <v>47</v>
      </c>
      <c r="I4" s="110" t="s">
        <v>47</v>
      </c>
      <c r="J4" s="13">
        <v>200</v>
      </c>
      <c r="K4" s="13">
        <v>0</v>
      </c>
      <c r="L4" s="110" t="s">
        <v>48</v>
      </c>
      <c r="M4" s="110" t="s">
        <v>48</v>
      </c>
      <c r="N4" s="110" t="s">
        <v>48</v>
      </c>
      <c r="O4" s="13" t="s">
        <v>367</v>
      </c>
      <c r="P4" s="13"/>
      <c r="Q4" s="13" t="s">
        <v>368</v>
      </c>
      <c r="R4" s="13" t="s">
        <v>368</v>
      </c>
      <c r="S4" s="110" t="s">
        <v>47</v>
      </c>
      <c r="T4" s="110" t="s">
        <v>51</v>
      </c>
      <c r="U4" s="13"/>
      <c r="V4" s="110" t="s">
        <v>52</v>
      </c>
      <c r="W4" s="110" t="s">
        <v>53</v>
      </c>
      <c r="X4" s="110" t="s">
        <v>47</v>
      </c>
      <c r="Y4" s="110" t="s">
        <v>54</v>
      </c>
      <c r="Z4" s="110" t="s">
        <v>55</v>
      </c>
      <c r="AA4" s="110" t="s">
        <v>56</v>
      </c>
      <c r="AB4" s="110" t="s">
        <v>47</v>
      </c>
      <c r="AC4" s="110" t="s">
        <v>47</v>
      </c>
      <c r="AD4" s="110" t="s">
        <v>47</v>
      </c>
      <c r="AE4" s="110" t="s">
        <v>47</v>
      </c>
      <c r="AF4" s="13"/>
      <c r="AG4" s="13" t="s">
        <v>57</v>
      </c>
      <c r="AH4" s="13" t="s">
        <v>58</v>
      </c>
      <c r="AI4" s="13" t="s">
        <v>59</v>
      </c>
      <c r="AJ4" s="13"/>
      <c r="AK4" s="13" t="s">
        <v>57</v>
      </c>
      <c r="AL4" s="13" t="s">
        <v>58</v>
      </c>
      <c r="AM4" s="13" t="s">
        <v>59</v>
      </c>
      <c r="AN4" s="13"/>
      <c r="AO4" s="110" t="s">
        <v>57</v>
      </c>
      <c r="AP4" s="110" t="s">
        <v>60</v>
      </c>
      <c r="AQ4" s="13">
        <v>0</v>
      </c>
      <c r="AR4" s="13">
        <v>2.0028999999999999</v>
      </c>
      <c r="AS4" s="18"/>
    </row>
    <row r="5" spans="1:45">
      <c r="A5" s="117" t="s">
        <v>327</v>
      </c>
      <c r="B5" s="103" t="s">
        <v>64</v>
      </c>
      <c r="C5" s="111" t="s">
        <v>65</v>
      </c>
      <c r="D5" s="111" t="s">
        <v>66</v>
      </c>
      <c r="E5" s="111" t="s">
        <v>66</v>
      </c>
      <c r="F5" s="111" t="s">
        <v>45</v>
      </c>
      <c r="G5" s="111" t="s">
        <v>67</v>
      </c>
      <c r="H5" s="111" t="s">
        <v>47</v>
      </c>
      <c r="I5" s="111" t="s">
        <v>47</v>
      </c>
      <c r="J5" s="12">
        <v>1</v>
      </c>
      <c r="K5" s="14">
        <v>0</v>
      </c>
      <c r="L5" s="111" t="s">
        <v>371</v>
      </c>
      <c r="M5" s="111" t="s">
        <v>69</v>
      </c>
      <c r="N5" s="111" t="s">
        <v>372</v>
      </c>
      <c r="O5" s="14" t="s">
        <v>373</v>
      </c>
      <c r="P5" s="14">
        <v>25</v>
      </c>
      <c r="Q5" s="14" t="s">
        <v>368</v>
      </c>
      <c r="R5" s="14" t="s">
        <v>368</v>
      </c>
      <c r="S5" s="111" t="s">
        <v>47</v>
      </c>
      <c r="T5" s="111" t="s">
        <v>51</v>
      </c>
      <c r="U5" s="14"/>
      <c r="V5" s="111" t="s">
        <v>52</v>
      </c>
      <c r="W5" s="111" t="s">
        <v>72</v>
      </c>
      <c r="X5" s="111" t="s">
        <v>47</v>
      </c>
      <c r="Y5" s="111" t="s">
        <v>54</v>
      </c>
      <c r="Z5" s="111" t="s">
        <v>55</v>
      </c>
      <c r="AA5" s="111" t="s">
        <v>56</v>
      </c>
      <c r="AB5" s="111" t="s">
        <v>47</v>
      </c>
      <c r="AC5" s="111" t="s">
        <v>47</v>
      </c>
      <c r="AD5" s="111" t="s">
        <v>47</v>
      </c>
      <c r="AE5" s="111" t="s">
        <v>47</v>
      </c>
      <c r="AF5" s="14"/>
      <c r="AG5" s="14" t="s">
        <v>73</v>
      </c>
      <c r="AH5" s="14" t="s">
        <v>74</v>
      </c>
      <c r="AI5" s="14" t="s">
        <v>59</v>
      </c>
      <c r="AJ5" s="14"/>
      <c r="AK5" s="14" t="s">
        <v>73</v>
      </c>
      <c r="AL5" s="14" t="s">
        <v>74</v>
      </c>
      <c r="AM5" s="14" t="s">
        <v>59</v>
      </c>
      <c r="AN5" s="14"/>
      <c r="AO5" s="111" t="s">
        <v>73</v>
      </c>
      <c r="AP5" s="111" t="s">
        <v>60</v>
      </c>
      <c r="AQ5" s="14">
        <v>0</v>
      </c>
      <c r="AR5" s="14">
        <v>9.32</v>
      </c>
      <c r="AS5" s="19"/>
    </row>
    <row r="6" spans="1:45">
      <c r="A6" s="117" t="s">
        <v>423</v>
      </c>
      <c r="B6" s="102" t="s">
        <v>75</v>
      </c>
      <c r="C6" s="110" t="s">
        <v>76</v>
      </c>
      <c r="D6" s="110" t="s">
        <v>77</v>
      </c>
      <c r="E6" s="110" t="s">
        <v>78</v>
      </c>
      <c r="F6" s="110" t="s">
        <v>79</v>
      </c>
      <c r="G6" s="110" t="s">
        <v>79</v>
      </c>
      <c r="H6" s="110" t="s">
        <v>47</v>
      </c>
      <c r="I6" s="110" t="s">
        <v>47</v>
      </c>
      <c r="J6" s="13">
        <v>0</v>
      </c>
      <c r="K6" s="13">
        <v>0</v>
      </c>
      <c r="L6" s="110" t="s">
        <v>48</v>
      </c>
      <c r="M6" s="110" t="s">
        <v>69</v>
      </c>
      <c r="N6" s="110" t="s">
        <v>48</v>
      </c>
      <c r="O6" s="13" t="s">
        <v>80</v>
      </c>
      <c r="P6" s="13"/>
      <c r="Q6" s="13" t="s">
        <v>80</v>
      </c>
      <c r="R6" s="13" t="s">
        <v>80</v>
      </c>
      <c r="S6" s="110" t="s">
        <v>47</v>
      </c>
      <c r="T6" s="110" t="s">
        <v>51</v>
      </c>
      <c r="U6" s="13"/>
      <c r="V6" s="110" t="s">
        <v>52</v>
      </c>
      <c r="W6" s="110" t="s">
        <v>81</v>
      </c>
      <c r="X6" s="110" t="s">
        <v>47</v>
      </c>
      <c r="Y6" s="110" t="s">
        <v>54</v>
      </c>
      <c r="Z6" s="110" t="s">
        <v>55</v>
      </c>
      <c r="AA6" s="110" t="s">
        <v>56</v>
      </c>
      <c r="AB6" s="110" t="s">
        <v>82</v>
      </c>
      <c r="AC6" s="110" t="s">
        <v>83</v>
      </c>
      <c r="AD6" s="110" t="s">
        <v>47</v>
      </c>
      <c r="AE6" s="110" t="s">
        <v>47</v>
      </c>
      <c r="AF6" s="13"/>
      <c r="AG6" s="13" t="s">
        <v>80</v>
      </c>
      <c r="AH6" s="13" t="s">
        <v>74</v>
      </c>
      <c r="AI6" s="13" t="s">
        <v>84</v>
      </c>
      <c r="AJ6" s="13"/>
      <c r="AK6" s="13" t="s">
        <v>80</v>
      </c>
      <c r="AL6" s="13" t="s">
        <v>74</v>
      </c>
      <c r="AM6" s="13" t="s">
        <v>84</v>
      </c>
      <c r="AN6" s="13"/>
      <c r="AO6" s="110" t="s">
        <v>85</v>
      </c>
      <c r="AP6" s="110" t="s">
        <v>86</v>
      </c>
      <c r="AQ6" s="13">
        <v>0</v>
      </c>
      <c r="AR6" s="13">
        <v>0</v>
      </c>
      <c r="AS6" s="18"/>
    </row>
    <row r="7" spans="1:45">
      <c r="A7" s="117" t="s">
        <v>424</v>
      </c>
      <c r="B7" s="103" t="s">
        <v>87</v>
      </c>
      <c r="C7" s="111" t="s">
        <v>88</v>
      </c>
      <c r="D7" s="111" t="s">
        <v>77</v>
      </c>
      <c r="E7" s="111" t="s">
        <v>78</v>
      </c>
      <c r="F7" s="111" t="s">
        <v>79</v>
      </c>
      <c r="G7" s="111" t="s">
        <v>79</v>
      </c>
      <c r="H7" s="111" t="s">
        <v>47</v>
      </c>
      <c r="I7" s="111" t="s">
        <v>47</v>
      </c>
      <c r="J7" s="14">
        <v>0</v>
      </c>
      <c r="K7" s="14">
        <v>0</v>
      </c>
      <c r="L7" s="111" t="s">
        <v>48</v>
      </c>
      <c r="M7" s="111" t="s">
        <v>69</v>
      </c>
      <c r="N7" s="111" t="s">
        <v>48</v>
      </c>
      <c r="O7" s="14" t="s">
        <v>89</v>
      </c>
      <c r="P7" s="14"/>
      <c r="Q7" s="14" t="s">
        <v>89</v>
      </c>
      <c r="R7" s="14" t="s">
        <v>89</v>
      </c>
      <c r="S7" s="111" t="s">
        <v>47</v>
      </c>
      <c r="T7" s="111" t="s">
        <v>51</v>
      </c>
      <c r="U7" s="14"/>
      <c r="V7" s="111" t="s">
        <v>52</v>
      </c>
      <c r="W7" s="111" t="s">
        <v>81</v>
      </c>
      <c r="X7" s="111" t="s">
        <v>47</v>
      </c>
      <c r="Y7" s="111" t="s">
        <v>54</v>
      </c>
      <c r="Z7" s="111" t="s">
        <v>55</v>
      </c>
      <c r="AA7" s="111" t="s">
        <v>56</v>
      </c>
      <c r="AB7" s="111" t="s">
        <v>82</v>
      </c>
      <c r="AC7" s="111" t="s">
        <v>90</v>
      </c>
      <c r="AD7" s="111" t="s">
        <v>47</v>
      </c>
      <c r="AE7" s="111" t="s">
        <v>47</v>
      </c>
      <c r="AF7" s="14"/>
      <c r="AG7" s="14" t="s">
        <v>89</v>
      </c>
      <c r="AH7" s="14" t="s">
        <v>74</v>
      </c>
      <c r="AI7" s="14" t="s">
        <v>84</v>
      </c>
      <c r="AJ7" s="14"/>
      <c r="AK7" s="14" t="s">
        <v>89</v>
      </c>
      <c r="AL7" s="14" t="s">
        <v>74</v>
      </c>
      <c r="AM7" s="14" t="s">
        <v>84</v>
      </c>
      <c r="AN7" s="14"/>
      <c r="AO7" s="111" t="s">
        <v>85</v>
      </c>
      <c r="AP7" s="111" t="s">
        <v>60</v>
      </c>
      <c r="AQ7" s="14">
        <v>0</v>
      </c>
      <c r="AR7" s="14">
        <v>0</v>
      </c>
      <c r="AS7" s="19"/>
    </row>
    <row r="8" spans="1:45">
      <c r="A8" s="117" t="s">
        <v>352</v>
      </c>
      <c r="B8" s="102" t="s">
        <v>91</v>
      </c>
      <c r="C8" s="110" t="s">
        <v>92</v>
      </c>
      <c r="D8" s="110" t="s">
        <v>66</v>
      </c>
      <c r="E8" s="110" t="s">
        <v>66</v>
      </c>
      <c r="F8" s="110" t="s">
        <v>45</v>
      </c>
      <c r="G8" s="110" t="s">
        <v>67</v>
      </c>
      <c r="H8" s="110" t="s">
        <v>47</v>
      </c>
      <c r="I8" s="110" t="s">
        <v>47</v>
      </c>
      <c r="J8" s="13">
        <v>25</v>
      </c>
      <c r="K8" s="13">
        <v>0</v>
      </c>
      <c r="L8" s="110" t="s">
        <v>371</v>
      </c>
      <c r="M8" s="110" t="s">
        <v>69</v>
      </c>
      <c r="N8" s="110" t="s">
        <v>372</v>
      </c>
      <c r="O8" s="13" t="s">
        <v>367</v>
      </c>
      <c r="P8" s="13">
        <v>1</v>
      </c>
      <c r="Q8" s="13" t="s">
        <v>374</v>
      </c>
      <c r="R8" s="13" t="s">
        <v>374</v>
      </c>
      <c r="S8" s="110" t="s">
        <v>47</v>
      </c>
      <c r="T8" s="110" t="s">
        <v>51</v>
      </c>
      <c r="U8" s="13"/>
      <c r="V8" s="110" t="s">
        <v>52</v>
      </c>
      <c r="W8" s="110" t="s">
        <v>72</v>
      </c>
      <c r="X8" s="110" t="s">
        <v>47</v>
      </c>
      <c r="Y8" s="110" t="s">
        <v>54</v>
      </c>
      <c r="Z8" s="110" t="s">
        <v>55</v>
      </c>
      <c r="AA8" s="110" t="s">
        <v>56</v>
      </c>
      <c r="AB8" s="110" t="s">
        <v>47</v>
      </c>
      <c r="AC8" s="110" t="s">
        <v>47</v>
      </c>
      <c r="AD8" s="110" t="s">
        <v>47</v>
      </c>
      <c r="AE8" s="110" t="s">
        <v>47</v>
      </c>
      <c r="AF8" s="13"/>
      <c r="AG8" s="13" t="s">
        <v>94</v>
      </c>
      <c r="AH8" s="13" t="s">
        <v>74</v>
      </c>
      <c r="AI8" s="13" t="s">
        <v>59</v>
      </c>
      <c r="AJ8" s="13"/>
      <c r="AK8" s="13" t="s">
        <v>94</v>
      </c>
      <c r="AL8" s="13" t="s">
        <v>74</v>
      </c>
      <c r="AM8" s="13" t="s">
        <v>59</v>
      </c>
      <c r="AN8" s="13"/>
      <c r="AO8" s="110" t="s">
        <v>94</v>
      </c>
      <c r="AP8" s="110" t="s">
        <v>60</v>
      </c>
      <c r="AQ8" s="13">
        <v>0</v>
      </c>
      <c r="AR8" s="13">
        <v>0.58599999999999997</v>
      </c>
      <c r="AS8" s="18"/>
    </row>
    <row r="9" spans="1:45">
      <c r="A9" s="117" t="s">
        <v>351</v>
      </c>
      <c r="B9" s="103" t="s">
        <v>95</v>
      </c>
      <c r="C9" s="111" t="s">
        <v>96</v>
      </c>
      <c r="D9" s="111" t="s">
        <v>66</v>
      </c>
      <c r="E9" s="111" t="s">
        <v>66</v>
      </c>
      <c r="F9" s="111" t="s">
        <v>45</v>
      </c>
      <c r="G9" s="111" t="s">
        <v>67</v>
      </c>
      <c r="H9" s="111" t="s">
        <v>47</v>
      </c>
      <c r="I9" s="111" t="s">
        <v>47</v>
      </c>
      <c r="J9" s="14">
        <v>20</v>
      </c>
      <c r="K9" s="14">
        <v>0</v>
      </c>
      <c r="L9" s="111" t="s">
        <v>371</v>
      </c>
      <c r="M9" s="111" t="s">
        <v>69</v>
      </c>
      <c r="N9" s="111" t="s">
        <v>372</v>
      </c>
      <c r="O9" s="14" t="s">
        <v>367</v>
      </c>
      <c r="P9" s="14">
        <v>1</v>
      </c>
      <c r="Q9" s="14" t="s">
        <v>374</v>
      </c>
      <c r="R9" s="14" t="s">
        <v>94</v>
      </c>
      <c r="S9" s="111" t="s">
        <v>47</v>
      </c>
      <c r="T9" s="111" t="s">
        <v>51</v>
      </c>
      <c r="U9" s="14"/>
      <c r="V9" s="111" t="s">
        <v>52</v>
      </c>
      <c r="W9" s="111" t="s">
        <v>72</v>
      </c>
      <c r="X9" s="111" t="s">
        <v>47</v>
      </c>
      <c r="Y9" s="111" t="s">
        <v>54</v>
      </c>
      <c r="Z9" s="111" t="s">
        <v>55</v>
      </c>
      <c r="AA9" s="111" t="s">
        <v>56</v>
      </c>
      <c r="AB9" s="111" t="s">
        <v>47</v>
      </c>
      <c r="AC9" s="111" t="s">
        <v>47</v>
      </c>
      <c r="AD9" s="111" t="s">
        <v>47</v>
      </c>
      <c r="AE9" s="111" t="s">
        <v>47</v>
      </c>
      <c r="AF9" s="14"/>
      <c r="AG9" s="14" t="s">
        <v>94</v>
      </c>
      <c r="AH9" s="14" t="s">
        <v>74</v>
      </c>
      <c r="AI9" s="14" t="s">
        <v>59</v>
      </c>
      <c r="AJ9" s="14"/>
      <c r="AK9" s="14" t="s">
        <v>94</v>
      </c>
      <c r="AL9" s="14" t="s">
        <v>74</v>
      </c>
      <c r="AM9" s="14" t="s">
        <v>59</v>
      </c>
      <c r="AN9" s="14"/>
      <c r="AO9" s="111" t="s">
        <v>94</v>
      </c>
      <c r="AP9" s="111" t="s">
        <v>60</v>
      </c>
      <c r="AQ9" s="14">
        <v>0</v>
      </c>
      <c r="AR9" s="14">
        <v>1.22</v>
      </c>
      <c r="AS9" s="19"/>
    </row>
    <row r="10" spans="1:45">
      <c r="A10" s="117" t="s">
        <v>348</v>
      </c>
      <c r="B10" s="102" t="s">
        <v>97</v>
      </c>
      <c r="C10" s="110" t="s">
        <v>98</v>
      </c>
      <c r="D10" s="110" t="s">
        <v>66</v>
      </c>
      <c r="E10" s="110" t="s">
        <v>66</v>
      </c>
      <c r="F10" s="110" t="s">
        <v>45</v>
      </c>
      <c r="G10" s="110" t="s">
        <v>67</v>
      </c>
      <c r="H10" s="110" t="s">
        <v>47</v>
      </c>
      <c r="I10" s="110" t="s">
        <v>47</v>
      </c>
      <c r="J10" s="13">
        <v>0</v>
      </c>
      <c r="K10" s="13">
        <v>0</v>
      </c>
      <c r="L10" s="110" t="s">
        <v>371</v>
      </c>
      <c r="M10" s="110" t="s">
        <v>69</v>
      </c>
      <c r="N10" s="110" t="s">
        <v>372</v>
      </c>
      <c r="O10" s="13" t="s">
        <v>373</v>
      </c>
      <c r="P10" s="13"/>
      <c r="Q10" s="13" t="s">
        <v>373</v>
      </c>
      <c r="R10" s="13" t="s">
        <v>373</v>
      </c>
      <c r="S10" s="110" t="s">
        <v>47</v>
      </c>
      <c r="T10" s="110" t="s">
        <v>51</v>
      </c>
      <c r="U10" s="13"/>
      <c r="V10" s="110" t="s">
        <v>52</v>
      </c>
      <c r="W10" s="110" t="s">
        <v>72</v>
      </c>
      <c r="X10" s="110" t="s">
        <v>47</v>
      </c>
      <c r="Y10" s="110" t="s">
        <v>54</v>
      </c>
      <c r="Z10" s="110" t="s">
        <v>55</v>
      </c>
      <c r="AA10" s="110" t="s">
        <v>56</v>
      </c>
      <c r="AB10" s="110" t="s">
        <v>47</v>
      </c>
      <c r="AC10" s="110" t="s">
        <v>47</v>
      </c>
      <c r="AD10" s="110" t="s">
        <v>47</v>
      </c>
      <c r="AE10" s="110" t="s">
        <v>47</v>
      </c>
      <c r="AF10" s="13"/>
      <c r="AG10" s="13" t="s">
        <v>99</v>
      </c>
      <c r="AH10" s="13" t="s">
        <v>74</v>
      </c>
      <c r="AI10" s="13" t="s">
        <v>59</v>
      </c>
      <c r="AJ10" s="13"/>
      <c r="AK10" s="13" t="s">
        <v>99</v>
      </c>
      <c r="AL10" s="13" t="s">
        <v>74</v>
      </c>
      <c r="AM10" s="13" t="s">
        <v>59</v>
      </c>
      <c r="AN10" s="13"/>
      <c r="AO10" s="110" t="s">
        <v>99</v>
      </c>
      <c r="AP10" s="110" t="s">
        <v>60</v>
      </c>
      <c r="AQ10" s="13">
        <v>0</v>
      </c>
      <c r="AR10" s="13">
        <v>0.22789999999999999</v>
      </c>
      <c r="AS10" s="18"/>
    </row>
    <row r="11" spans="1:45">
      <c r="A11" s="117" t="s">
        <v>343</v>
      </c>
      <c r="B11" s="103" t="s">
        <v>100</v>
      </c>
      <c r="C11" s="111" t="s">
        <v>101</v>
      </c>
      <c r="D11" s="111" t="s">
        <v>66</v>
      </c>
      <c r="E11" s="111" t="s">
        <v>66</v>
      </c>
      <c r="F11" s="111" t="s">
        <v>45</v>
      </c>
      <c r="G11" s="111" t="s">
        <v>67</v>
      </c>
      <c r="H11" s="111" t="s">
        <v>47</v>
      </c>
      <c r="I11" s="111" t="s">
        <v>47</v>
      </c>
      <c r="J11" s="14">
        <v>0</v>
      </c>
      <c r="K11" s="14">
        <v>0</v>
      </c>
      <c r="L11" s="111" t="s">
        <v>371</v>
      </c>
      <c r="M11" s="111" t="s">
        <v>69</v>
      </c>
      <c r="N11" s="111" t="s">
        <v>372</v>
      </c>
      <c r="O11" s="14" t="s">
        <v>373</v>
      </c>
      <c r="P11" s="14"/>
      <c r="Q11" s="14" t="s">
        <v>373</v>
      </c>
      <c r="R11" s="14" t="s">
        <v>373</v>
      </c>
      <c r="S11" s="111" t="s">
        <v>47</v>
      </c>
      <c r="T11" s="111" t="s">
        <v>51</v>
      </c>
      <c r="U11" s="14"/>
      <c r="V11" s="111" t="s">
        <v>52</v>
      </c>
      <c r="W11" s="111" t="s">
        <v>72</v>
      </c>
      <c r="X11" s="111" t="s">
        <v>47</v>
      </c>
      <c r="Y11" s="111" t="s">
        <v>54</v>
      </c>
      <c r="Z11" s="111" t="s">
        <v>55</v>
      </c>
      <c r="AA11" s="111" t="s">
        <v>56</v>
      </c>
      <c r="AB11" s="111" t="s">
        <v>47</v>
      </c>
      <c r="AC11" s="111" t="s">
        <v>47</v>
      </c>
      <c r="AD11" s="111" t="s">
        <v>47</v>
      </c>
      <c r="AE11" s="111" t="s">
        <v>47</v>
      </c>
      <c r="AF11" s="14"/>
      <c r="AG11" s="14" t="s">
        <v>99</v>
      </c>
      <c r="AH11" s="14" t="s">
        <v>58</v>
      </c>
      <c r="AI11" s="14" t="s">
        <v>59</v>
      </c>
      <c r="AJ11" s="14"/>
      <c r="AK11" s="14" t="s">
        <v>99</v>
      </c>
      <c r="AL11" s="14" t="s">
        <v>58</v>
      </c>
      <c r="AM11" s="14" t="s">
        <v>59</v>
      </c>
      <c r="AN11" s="14"/>
      <c r="AO11" s="111" t="s">
        <v>99</v>
      </c>
      <c r="AP11" s="111" t="s">
        <v>60</v>
      </c>
      <c r="AQ11" s="14">
        <v>0</v>
      </c>
      <c r="AR11" s="14">
        <v>45</v>
      </c>
      <c r="AS11" s="19"/>
    </row>
    <row r="12" spans="1:45">
      <c r="A12" s="117" t="s">
        <v>335</v>
      </c>
      <c r="B12" s="102" t="s">
        <v>102</v>
      </c>
      <c r="C12" s="110" t="s">
        <v>103</v>
      </c>
      <c r="D12" s="110" t="s">
        <v>66</v>
      </c>
      <c r="E12" s="110" t="s">
        <v>66</v>
      </c>
      <c r="F12" s="110" t="s">
        <v>45</v>
      </c>
      <c r="G12" s="110" t="s">
        <v>67</v>
      </c>
      <c r="H12" s="110" t="s">
        <v>47</v>
      </c>
      <c r="I12" s="110" t="s">
        <v>47</v>
      </c>
      <c r="J12" s="13">
        <v>1</v>
      </c>
      <c r="K12" s="13">
        <v>0</v>
      </c>
      <c r="L12" s="110" t="s">
        <v>371</v>
      </c>
      <c r="M12" s="110" t="s">
        <v>69</v>
      </c>
      <c r="N12" s="110" t="s">
        <v>372</v>
      </c>
      <c r="O12" s="13" t="s">
        <v>373</v>
      </c>
      <c r="P12" s="13">
        <v>210</v>
      </c>
      <c r="Q12" s="13" t="s">
        <v>368</v>
      </c>
      <c r="R12" s="13" t="s">
        <v>368</v>
      </c>
      <c r="S12" s="110" t="s">
        <v>47</v>
      </c>
      <c r="T12" s="110" t="s">
        <v>51</v>
      </c>
      <c r="U12" s="13"/>
      <c r="V12" s="110" t="s">
        <v>52</v>
      </c>
      <c r="W12" s="110" t="s">
        <v>72</v>
      </c>
      <c r="X12" s="110" t="s">
        <v>47</v>
      </c>
      <c r="Y12" s="110" t="s">
        <v>54</v>
      </c>
      <c r="Z12" s="110" t="s">
        <v>55</v>
      </c>
      <c r="AA12" s="110" t="s">
        <v>56</v>
      </c>
      <c r="AB12" s="110" t="s">
        <v>47</v>
      </c>
      <c r="AC12" s="110" t="s">
        <v>47</v>
      </c>
      <c r="AD12" s="110" t="s">
        <v>47</v>
      </c>
      <c r="AE12" s="110" t="s">
        <v>47</v>
      </c>
      <c r="AF12" s="13"/>
      <c r="AG12" s="13" t="s">
        <v>73</v>
      </c>
      <c r="AH12" s="13" t="s">
        <v>74</v>
      </c>
      <c r="AI12" s="13" t="s">
        <v>59</v>
      </c>
      <c r="AJ12" s="13"/>
      <c r="AK12" s="13" t="s">
        <v>73</v>
      </c>
      <c r="AL12" s="13" t="s">
        <v>74</v>
      </c>
      <c r="AM12" s="13" t="s">
        <v>59</v>
      </c>
      <c r="AN12" s="13"/>
      <c r="AO12" s="110" t="s">
        <v>73</v>
      </c>
      <c r="AP12" s="110" t="s">
        <v>60</v>
      </c>
      <c r="AQ12" s="13">
        <v>0</v>
      </c>
      <c r="AR12" s="13">
        <v>4.9800000000000004</v>
      </c>
      <c r="AS12" s="18"/>
    </row>
    <row r="13" spans="1:45">
      <c r="A13" s="117" t="s">
        <v>104</v>
      </c>
      <c r="B13" s="103" t="s">
        <v>104</v>
      </c>
      <c r="C13" s="109" t="s">
        <v>375</v>
      </c>
      <c r="D13" s="111" t="s">
        <v>44</v>
      </c>
      <c r="E13" s="109" t="s">
        <v>44</v>
      </c>
      <c r="F13" s="111" t="s">
        <v>45</v>
      </c>
      <c r="G13" s="109" t="s">
        <v>366</v>
      </c>
      <c r="H13" s="111" t="s">
        <v>47</v>
      </c>
      <c r="I13" s="111" t="s">
        <v>47</v>
      </c>
      <c r="J13" s="14">
        <v>4.3499999999999996</v>
      </c>
      <c r="K13" s="14">
        <v>0</v>
      </c>
      <c r="L13" s="111" t="s">
        <v>48</v>
      </c>
      <c r="M13" s="111" t="s">
        <v>48</v>
      </c>
      <c r="N13" s="111" t="s">
        <v>48</v>
      </c>
      <c r="O13" s="14" t="s">
        <v>367</v>
      </c>
      <c r="P13" s="14"/>
      <c r="Q13" s="14" t="s">
        <v>368</v>
      </c>
      <c r="R13" s="14" t="s">
        <v>368</v>
      </c>
      <c r="S13" s="111" t="s">
        <v>47</v>
      </c>
      <c r="T13" s="111" t="s">
        <v>51</v>
      </c>
      <c r="U13" s="14"/>
      <c r="V13" s="111" t="s">
        <v>52</v>
      </c>
      <c r="W13" s="111" t="s">
        <v>53</v>
      </c>
      <c r="X13" s="111" t="s">
        <v>47</v>
      </c>
      <c r="Y13" s="111" t="s">
        <v>54</v>
      </c>
      <c r="Z13" s="111" t="s">
        <v>55</v>
      </c>
      <c r="AA13" s="111" t="s">
        <v>56</v>
      </c>
      <c r="AB13" s="111" t="s">
        <v>47</v>
      </c>
      <c r="AC13" s="111" t="s">
        <v>47</v>
      </c>
      <c r="AD13" s="111" t="s">
        <v>47</v>
      </c>
      <c r="AE13" s="111" t="s">
        <v>47</v>
      </c>
      <c r="AF13" s="14"/>
      <c r="AG13" s="14" t="s">
        <v>73</v>
      </c>
      <c r="AH13" s="14" t="s">
        <v>58</v>
      </c>
      <c r="AI13" s="14" t="s">
        <v>59</v>
      </c>
      <c r="AJ13" s="14"/>
      <c r="AK13" s="14" t="s">
        <v>73</v>
      </c>
      <c r="AL13" s="14" t="s">
        <v>58</v>
      </c>
      <c r="AM13" s="14" t="s">
        <v>59</v>
      </c>
      <c r="AN13" s="14"/>
      <c r="AO13" s="111" t="s">
        <v>73</v>
      </c>
      <c r="AP13" s="111" t="s">
        <v>60</v>
      </c>
      <c r="AQ13" s="14">
        <v>0</v>
      </c>
      <c r="AR13" s="14">
        <v>2.1164999999999998</v>
      </c>
      <c r="AS13" s="19"/>
    </row>
    <row r="14" spans="1:45">
      <c r="A14" s="117" t="s">
        <v>105</v>
      </c>
      <c r="B14" s="102" t="s">
        <v>105</v>
      </c>
      <c r="C14" s="109" t="s">
        <v>376</v>
      </c>
      <c r="D14" s="110" t="s">
        <v>44</v>
      </c>
      <c r="E14" s="109" t="s">
        <v>44</v>
      </c>
      <c r="F14" s="110" t="s">
        <v>45</v>
      </c>
      <c r="G14" s="109" t="s">
        <v>366</v>
      </c>
      <c r="H14" s="110" t="s">
        <v>47</v>
      </c>
      <c r="I14" s="110" t="s">
        <v>47</v>
      </c>
      <c r="J14" s="13">
        <v>8.6999999999999993</v>
      </c>
      <c r="K14" s="13">
        <v>0</v>
      </c>
      <c r="L14" s="110" t="s">
        <v>48</v>
      </c>
      <c r="M14" s="110" t="s">
        <v>48</v>
      </c>
      <c r="N14" s="110" t="s">
        <v>48</v>
      </c>
      <c r="O14" s="13" t="s">
        <v>367</v>
      </c>
      <c r="P14" s="13"/>
      <c r="Q14" s="13" t="s">
        <v>368</v>
      </c>
      <c r="R14" s="13" t="s">
        <v>368</v>
      </c>
      <c r="S14" s="110" t="s">
        <v>47</v>
      </c>
      <c r="T14" s="110" t="s">
        <v>51</v>
      </c>
      <c r="U14" s="13"/>
      <c r="V14" s="110" t="s">
        <v>52</v>
      </c>
      <c r="W14" s="110" t="s">
        <v>53</v>
      </c>
      <c r="X14" s="110" t="s">
        <v>47</v>
      </c>
      <c r="Y14" s="110" t="s">
        <v>54</v>
      </c>
      <c r="Z14" s="110" t="s">
        <v>55</v>
      </c>
      <c r="AA14" s="110" t="s">
        <v>56</v>
      </c>
      <c r="AB14" s="110" t="s">
        <v>47</v>
      </c>
      <c r="AC14" s="110" t="s">
        <v>47</v>
      </c>
      <c r="AD14" s="110" t="s">
        <v>47</v>
      </c>
      <c r="AE14" s="110" t="s">
        <v>47</v>
      </c>
      <c r="AF14" s="13"/>
      <c r="AG14" s="13" t="s">
        <v>73</v>
      </c>
      <c r="AH14" s="13" t="s">
        <v>58</v>
      </c>
      <c r="AI14" s="13" t="s">
        <v>59</v>
      </c>
      <c r="AJ14" s="13"/>
      <c r="AK14" s="13" t="s">
        <v>73</v>
      </c>
      <c r="AL14" s="13" t="s">
        <v>58</v>
      </c>
      <c r="AM14" s="13" t="s">
        <v>59</v>
      </c>
      <c r="AN14" s="13"/>
      <c r="AO14" s="110" t="s">
        <v>73</v>
      </c>
      <c r="AP14" s="110" t="s">
        <v>60</v>
      </c>
      <c r="AQ14" s="13">
        <v>0</v>
      </c>
      <c r="AR14" s="13">
        <v>2.1164999999999998</v>
      </c>
      <c r="AS14" s="18"/>
    </row>
    <row r="15" spans="1:45">
      <c r="A15" s="117" t="s">
        <v>106</v>
      </c>
      <c r="B15" s="103" t="s">
        <v>106</v>
      </c>
      <c r="C15" s="109" t="s">
        <v>377</v>
      </c>
      <c r="D15" s="111" t="s">
        <v>44</v>
      </c>
      <c r="E15" s="111" t="s">
        <v>44</v>
      </c>
      <c r="F15" s="111" t="s">
        <v>45</v>
      </c>
      <c r="G15" s="111" t="s">
        <v>62</v>
      </c>
      <c r="H15" s="111" t="s">
        <v>47</v>
      </c>
      <c r="I15" s="111" t="s">
        <v>47</v>
      </c>
      <c r="J15" s="14">
        <v>21.75</v>
      </c>
      <c r="K15" s="14">
        <v>0</v>
      </c>
      <c r="L15" s="111" t="s">
        <v>48</v>
      </c>
      <c r="M15" s="111" t="s">
        <v>48</v>
      </c>
      <c r="N15" s="111" t="s">
        <v>48</v>
      </c>
      <c r="O15" s="14" t="s">
        <v>367</v>
      </c>
      <c r="P15" s="14"/>
      <c r="Q15" s="14" t="s">
        <v>368</v>
      </c>
      <c r="R15" s="14" t="s">
        <v>368</v>
      </c>
      <c r="S15" s="111" t="s">
        <v>47</v>
      </c>
      <c r="T15" s="111" t="s">
        <v>51</v>
      </c>
      <c r="U15" s="14"/>
      <c r="V15" s="111" t="s">
        <v>52</v>
      </c>
      <c r="W15" s="111" t="s">
        <v>53</v>
      </c>
      <c r="X15" s="111" t="s">
        <v>47</v>
      </c>
      <c r="Y15" s="111" t="s">
        <v>54</v>
      </c>
      <c r="Z15" s="111" t="s">
        <v>55</v>
      </c>
      <c r="AA15" s="111" t="s">
        <v>56</v>
      </c>
      <c r="AB15" s="111" t="s">
        <v>47</v>
      </c>
      <c r="AC15" s="111" t="s">
        <v>47</v>
      </c>
      <c r="AD15" s="111" t="s">
        <v>47</v>
      </c>
      <c r="AE15" s="111" t="s">
        <v>47</v>
      </c>
      <c r="AF15" s="14"/>
      <c r="AG15" s="14" t="s">
        <v>73</v>
      </c>
      <c r="AH15" s="14" t="s">
        <v>58</v>
      </c>
      <c r="AI15" s="14" t="s">
        <v>59</v>
      </c>
      <c r="AJ15" s="14"/>
      <c r="AK15" s="14" t="s">
        <v>73</v>
      </c>
      <c r="AL15" s="14" t="s">
        <v>58</v>
      </c>
      <c r="AM15" s="14" t="s">
        <v>59</v>
      </c>
      <c r="AN15" s="14"/>
      <c r="AO15" s="111" t="s">
        <v>73</v>
      </c>
      <c r="AP15" s="111" t="s">
        <v>60</v>
      </c>
      <c r="AQ15" s="14">
        <v>0</v>
      </c>
      <c r="AR15" s="14">
        <v>2.1164999999999998</v>
      </c>
      <c r="AS15" s="19"/>
    </row>
    <row r="16" spans="1:45">
      <c r="A16" s="117" t="s">
        <v>425</v>
      </c>
      <c r="B16" s="102" t="s">
        <v>107</v>
      </c>
      <c r="C16" s="110" t="s">
        <v>108</v>
      </c>
      <c r="D16" s="110" t="s">
        <v>77</v>
      </c>
      <c r="E16" s="110" t="s">
        <v>109</v>
      </c>
      <c r="F16" s="110" t="s">
        <v>79</v>
      </c>
      <c r="G16" s="110" t="s">
        <v>79</v>
      </c>
      <c r="H16" s="110" t="s">
        <v>47</v>
      </c>
      <c r="I16" s="110" t="s">
        <v>47</v>
      </c>
      <c r="J16" s="13">
        <v>0</v>
      </c>
      <c r="K16" s="13">
        <v>0</v>
      </c>
      <c r="L16" s="110" t="s">
        <v>48</v>
      </c>
      <c r="M16" s="110" t="s">
        <v>69</v>
      </c>
      <c r="N16" s="110" t="s">
        <v>48</v>
      </c>
      <c r="O16" s="13" t="s">
        <v>85</v>
      </c>
      <c r="P16" s="13"/>
      <c r="Q16" s="13" t="s">
        <v>85</v>
      </c>
      <c r="R16" s="13" t="s">
        <v>85</v>
      </c>
      <c r="S16" s="110" t="s">
        <v>47</v>
      </c>
      <c r="T16" s="110" t="s">
        <v>110</v>
      </c>
      <c r="U16" s="13"/>
      <c r="V16" s="110" t="s">
        <v>52</v>
      </c>
      <c r="W16" s="110" t="s">
        <v>111</v>
      </c>
      <c r="X16" s="110" t="s">
        <v>47</v>
      </c>
      <c r="Y16" s="110" t="s">
        <v>54</v>
      </c>
      <c r="Z16" s="110" t="s">
        <v>55</v>
      </c>
      <c r="AA16" s="110" t="s">
        <v>56</v>
      </c>
      <c r="AB16" s="110" t="s">
        <v>112</v>
      </c>
      <c r="AC16" s="110" t="s">
        <v>113</v>
      </c>
      <c r="AD16" s="110" t="s">
        <v>47</v>
      </c>
      <c r="AE16" s="110" t="s">
        <v>47</v>
      </c>
      <c r="AF16" s="13"/>
      <c r="AG16" s="13" t="s">
        <v>85</v>
      </c>
      <c r="AH16" s="13" t="s">
        <v>74</v>
      </c>
      <c r="AI16" s="13" t="s">
        <v>59</v>
      </c>
      <c r="AJ16" s="13"/>
      <c r="AK16" s="13" t="s">
        <v>85</v>
      </c>
      <c r="AL16" s="13" t="s">
        <v>74</v>
      </c>
      <c r="AM16" s="13" t="s">
        <v>59</v>
      </c>
      <c r="AN16" s="13"/>
      <c r="AO16" s="110" t="s">
        <v>85</v>
      </c>
      <c r="AP16" s="110" t="s">
        <v>60</v>
      </c>
      <c r="AQ16" s="13">
        <v>0</v>
      </c>
      <c r="AR16" s="13">
        <v>0</v>
      </c>
      <c r="AS16" s="18"/>
    </row>
    <row r="17" spans="1:45">
      <c r="A17" s="117" t="s">
        <v>336</v>
      </c>
      <c r="B17" s="103" t="s">
        <v>114</v>
      </c>
      <c r="C17" s="111" t="s">
        <v>115</v>
      </c>
      <c r="D17" s="111" t="s">
        <v>66</v>
      </c>
      <c r="E17" s="111" t="s">
        <v>66</v>
      </c>
      <c r="F17" s="111" t="s">
        <v>45</v>
      </c>
      <c r="G17" s="111" t="s">
        <v>67</v>
      </c>
      <c r="H17" s="111" t="s">
        <v>47</v>
      </c>
      <c r="I17" s="111" t="s">
        <v>47</v>
      </c>
      <c r="J17" s="14">
        <v>0</v>
      </c>
      <c r="K17" s="14">
        <v>0</v>
      </c>
      <c r="L17" s="111" t="s">
        <v>371</v>
      </c>
      <c r="M17" s="111" t="s">
        <v>69</v>
      </c>
      <c r="N17" s="111" t="s">
        <v>372</v>
      </c>
      <c r="O17" s="14" t="s">
        <v>373</v>
      </c>
      <c r="P17" s="14"/>
      <c r="Q17" s="14" t="s">
        <v>373</v>
      </c>
      <c r="R17" s="14" t="s">
        <v>373</v>
      </c>
      <c r="S17" s="111" t="s">
        <v>47</v>
      </c>
      <c r="T17" s="111" t="s">
        <v>51</v>
      </c>
      <c r="U17" s="14"/>
      <c r="V17" s="111" t="s">
        <v>52</v>
      </c>
      <c r="W17" s="111" t="s">
        <v>72</v>
      </c>
      <c r="X17" s="111" t="s">
        <v>47</v>
      </c>
      <c r="Y17" s="111" t="s">
        <v>54</v>
      </c>
      <c r="Z17" s="111" t="s">
        <v>55</v>
      </c>
      <c r="AA17" s="111" t="s">
        <v>56</v>
      </c>
      <c r="AB17" s="111" t="s">
        <v>47</v>
      </c>
      <c r="AC17" s="111" t="s">
        <v>47</v>
      </c>
      <c r="AD17" s="111" t="s">
        <v>47</v>
      </c>
      <c r="AE17" s="111" t="s">
        <v>47</v>
      </c>
      <c r="AF17" s="14"/>
      <c r="AG17" s="14" t="s">
        <v>57</v>
      </c>
      <c r="AH17" s="14" t="s">
        <v>74</v>
      </c>
      <c r="AI17" s="14" t="s">
        <v>59</v>
      </c>
      <c r="AJ17" s="14"/>
      <c r="AK17" s="14" t="s">
        <v>57</v>
      </c>
      <c r="AL17" s="14" t="s">
        <v>74</v>
      </c>
      <c r="AM17" s="14" t="s">
        <v>59</v>
      </c>
      <c r="AN17" s="14"/>
      <c r="AO17" s="111" t="s">
        <v>57</v>
      </c>
      <c r="AP17" s="111" t="s">
        <v>60</v>
      </c>
      <c r="AQ17" s="14">
        <v>0</v>
      </c>
      <c r="AR17" s="14">
        <v>5.7500000000000002E-2</v>
      </c>
      <c r="AS17" s="19"/>
    </row>
    <row r="18" spans="1:45">
      <c r="A18" s="117" t="s">
        <v>338</v>
      </c>
      <c r="B18" s="102" t="s">
        <v>116</v>
      </c>
      <c r="C18" s="110" t="s">
        <v>117</v>
      </c>
      <c r="D18" s="110" t="s">
        <v>66</v>
      </c>
      <c r="E18" s="110" t="s">
        <v>66</v>
      </c>
      <c r="F18" s="110" t="s">
        <v>45</v>
      </c>
      <c r="G18" s="110" t="s">
        <v>67</v>
      </c>
      <c r="H18" s="110" t="s">
        <v>47</v>
      </c>
      <c r="I18" s="110" t="s">
        <v>47</v>
      </c>
      <c r="J18" s="13">
        <v>0</v>
      </c>
      <c r="K18" s="13">
        <v>0</v>
      </c>
      <c r="L18" s="110" t="s">
        <v>371</v>
      </c>
      <c r="M18" s="110" t="s">
        <v>69</v>
      </c>
      <c r="N18" s="110" t="s">
        <v>372</v>
      </c>
      <c r="O18" s="13" t="s">
        <v>373</v>
      </c>
      <c r="P18" s="13"/>
      <c r="Q18" s="13" t="s">
        <v>373</v>
      </c>
      <c r="R18" s="13" t="s">
        <v>373</v>
      </c>
      <c r="S18" s="110" t="s">
        <v>47</v>
      </c>
      <c r="T18" s="110" t="s">
        <v>51</v>
      </c>
      <c r="U18" s="13"/>
      <c r="V18" s="110" t="s">
        <v>52</v>
      </c>
      <c r="W18" s="110" t="s">
        <v>72</v>
      </c>
      <c r="X18" s="110" t="s">
        <v>47</v>
      </c>
      <c r="Y18" s="110" t="s">
        <v>54</v>
      </c>
      <c r="Z18" s="110" t="s">
        <v>55</v>
      </c>
      <c r="AA18" s="110" t="s">
        <v>56</v>
      </c>
      <c r="AB18" s="110" t="s">
        <v>47</v>
      </c>
      <c r="AC18" s="110" t="s">
        <v>47</v>
      </c>
      <c r="AD18" s="110" t="s">
        <v>47</v>
      </c>
      <c r="AE18" s="110" t="s">
        <v>47</v>
      </c>
      <c r="AF18" s="13"/>
      <c r="AG18" s="13" t="s">
        <v>99</v>
      </c>
      <c r="AH18" s="13" t="s">
        <v>74</v>
      </c>
      <c r="AI18" s="13" t="s">
        <v>59</v>
      </c>
      <c r="AJ18" s="13"/>
      <c r="AK18" s="13" t="s">
        <v>99</v>
      </c>
      <c r="AL18" s="13" t="s">
        <v>74</v>
      </c>
      <c r="AM18" s="13" t="s">
        <v>59</v>
      </c>
      <c r="AN18" s="13"/>
      <c r="AO18" s="110" t="s">
        <v>99</v>
      </c>
      <c r="AP18" s="110" t="s">
        <v>60</v>
      </c>
      <c r="AQ18" s="13">
        <v>0</v>
      </c>
      <c r="AR18" s="13">
        <v>43</v>
      </c>
      <c r="AS18" s="18"/>
    </row>
    <row r="19" spans="1:45">
      <c r="A19" s="117" t="s">
        <v>339</v>
      </c>
      <c r="B19" s="103" t="s">
        <v>118</v>
      </c>
      <c r="C19" s="111" t="s">
        <v>119</v>
      </c>
      <c r="D19" s="111" t="s">
        <v>66</v>
      </c>
      <c r="E19" s="111" t="s">
        <v>66</v>
      </c>
      <c r="F19" s="111" t="s">
        <v>45</v>
      </c>
      <c r="G19" s="111" t="s">
        <v>67</v>
      </c>
      <c r="H19" s="111" t="s">
        <v>47</v>
      </c>
      <c r="I19" s="111" t="s">
        <v>47</v>
      </c>
      <c r="J19" s="14">
        <v>0</v>
      </c>
      <c r="K19" s="14">
        <v>0</v>
      </c>
      <c r="L19" s="111" t="s">
        <v>371</v>
      </c>
      <c r="M19" s="111" t="s">
        <v>69</v>
      </c>
      <c r="N19" s="111" t="s">
        <v>372</v>
      </c>
      <c r="O19" s="14" t="s">
        <v>373</v>
      </c>
      <c r="P19" s="14"/>
      <c r="Q19" s="14" t="s">
        <v>373</v>
      </c>
      <c r="R19" s="14" t="s">
        <v>373</v>
      </c>
      <c r="S19" s="111" t="s">
        <v>47</v>
      </c>
      <c r="T19" s="111" t="s">
        <v>51</v>
      </c>
      <c r="U19" s="14"/>
      <c r="V19" s="111" t="s">
        <v>52</v>
      </c>
      <c r="W19" s="111" t="s">
        <v>72</v>
      </c>
      <c r="X19" s="111" t="s">
        <v>47</v>
      </c>
      <c r="Y19" s="111" t="s">
        <v>54</v>
      </c>
      <c r="Z19" s="111" t="s">
        <v>55</v>
      </c>
      <c r="AA19" s="111" t="s">
        <v>56</v>
      </c>
      <c r="AB19" s="111" t="s">
        <v>47</v>
      </c>
      <c r="AC19" s="111" t="s">
        <v>47</v>
      </c>
      <c r="AD19" s="111" t="s">
        <v>47</v>
      </c>
      <c r="AE19" s="111" t="s">
        <v>47</v>
      </c>
      <c r="AF19" s="14"/>
      <c r="AG19" s="14" t="s">
        <v>99</v>
      </c>
      <c r="AH19" s="14" t="s">
        <v>74</v>
      </c>
      <c r="AI19" s="14" t="s">
        <v>59</v>
      </c>
      <c r="AJ19" s="14"/>
      <c r="AK19" s="14" t="s">
        <v>99</v>
      </c>
      <c r="AL19" s="14" t="s">
        <v>74</v>
      </c>
      <c r="AM19" s="14" t="s">
        <v>59</v>
      </c>
      <c r="AN19" s="14"/>
      <c r="AO19" s="111" t="s">
        <v>99</v>
      </c>
      <c r="AP19" s="111" t="s">
        <v>60</v>
      </c>
      <c r="AQ19" s="14">
        <v>0</v>
      </c>
      <c r="AR19" s="14">
        <v>32</v>
      </c>
      <c r="AS19" s="19"/>
    </row>
    <row r="20" spans="1:45">
      <c r="A20" s="117" t="s">
        <v>341</v>
      </c>
      <c r="B20" s="102" t="s">
        <v>120</v>
      </c>
      <c r="C20" s="110" t="s">
        <v>121</v>
      </c>
      <c r="D20" s="110" t="s">
        <v>66</v>
      </c>
      <c r="E20" s="110" t="s">
        <v>66</v>
      </c>
      <c r="F20" s="110" t="s">
        <v>45</v>
      </c>
      <c r="G20" s="110" t="s">
        <v>67</v>
      </c>
      <c r="H20" s="110" t="s">
        <v>47</v>
      </c>
      <c r="I20" s="110" t="s">
        <v>47</v>
      </c>
      <c r="J20" s="13">
        <v>0</v>
      </c>
      <c r="K20" s="13">
        <v>0</v>
      </c>
      <c r="L20" s="110" t="s">
        <v>371</v>
      </c>
      <c r="M20" s="110" t="s">
        <v>69</v>
      </c>
      <c r="N20" s="110" t="s">
        <v>372</v>
      </c>
      <c r="O20" s="13" t="s">
        <v>373</v>
      </c>
      <c r="P20" s="13"/>
      <c r="Q20" s="13" t="s">
        <v>373</v>
      </c>
      <c r="R20" s="13" t="s">
        <v>373</v>
      </c>
      <c r="S20" s="110" t="s">
        <v>47</v>
      </c>
      <c r="T20" s="110" t="s">
        <v>51</v>
      </c>
      <c r="U20" s="13"/>
      <c r="V20" s="110" t="s">
        <v>52</v>
      </c>
      <c r="W20" s="110" t="s">
        <v>72</v>
      </c>
      <c r="X20" s="110" t="s">
        <v>47</v>
      </c>
      <c r="Y20" s="110" t="s">
        <v>54</v>
      </c>
      <c r="Z20" s="110" t="s">
        <v>55</v>
      </c>
      <c r="AA20" s="110" t="s">
        <v>56</v>
      </c>
      <c r="AB20" s="110" t="s">
        <v>47</v>
      </c>
      <c r="AC20" s="110" t="s">
        <v>47</v>
      </c>
      <c r="AD20" s="110" t="s">
        <v>47</v>
      </c>
      <c r="AE20" s="110" t="s">
        <v>47</v>
      </c>
      <c r="AF20" s="13"/>
      <c r="AG20" s="13" t="s">
        <v>99</v>
      </c>
      <c r="AH20" s="13" t="s">
        <v>74</v>
      </c>
      <c r="AI20" s="13" t="s">
        <v>59</v>
      </c>
      <c r="AJ20" s="13"/>
      <c r="AK20" s="13" t="s">
        <v>99</v>
      </c>
      <c r="AL20" s="13" t="s">
        <v>74</v>
      </c>
      <c r="AM20" s="13" t="s">
        <v>59</v>
      </c>
      <c r="AN20" s="13"/>
      <c r="AO20" s="110" t="s">
        <v>99</v>
      </c>
      <c r="AP20" s="110" t="s">
        <v>60</v>
      </c>
      <c r="AQ20" s="13">
        <v>0</v>
      </c>
      <c r="AR20" s="13">
        <v>3</v>
      </c>
      <c r="AS20" s="18"/>
    </row>
    <row r="21" spans="1:45">
      <c r="A21" s="117" t="s">
        <v>347</v>
      </c>
      <c r="B21" s="103" t="s">
        <v>122</v>
      </c>
      <c r="C21" s="111" t="s">
        <v>123</v>
      </c>
      <c r="D21" s="111" t="s">
        <v>66</v>
      </c>
      <c r="E21" s="111" t="s">
        <v>66</v>
      </c>
      <c r="F21" s="111" t="s">
        <v>45</v>
      </c>
      <c r="G21" s="111" t="s">
        <v>67</v>
      </c>
      <c r="H21" s="111" t="s">
        <v>47</v>
      </c>
      <c r="I21" s="111" t="s">
        <v>47</v>
      </c>
      <c r="J21" s="14">
        <v>0</v>
      </c>
      <c r="K21" s="14">
        <v>0</v>
      </c>
      <c r="L21" s="111" t="s">
        <v>371</v>
      </c>
      <c r="M21" s="111" t="s">
        <v>69</v>
      </c>
      <c r="N21" s="111" t="s">
        <v>372</v>
      </c>
      <c r="O21" s="14" t="s">
        <v>373</v>
      </c>
      <c r="P21" s="14"/>
      <c r="Q21" s="14" t="s">
        <v>373</v>
      </c>
      <c r="R21" s="14" t="s">
        <v>373</v>
      </c>
      <c r="S21" s="111" t="s">
        <v>47</v>
      </c>
      <c r="T21" s="111" t="s">
        <v>51</v>
      </c>
      <c r="U21" s="14"/>
      <c r="V21" s="111" t="s">
        <v>52</v>
      </c>
      <c r="W21" s="111" t="s">
        <v>72</v>
      </c>
      <c r="X21" s="111" t="s">
        <v>47</v>
      </c>
      <c r="Y21" s="111" t="s">
        <v>54</v>
      </c>
      <c r="Z21" s="111" t="s">
        <v>55</v>
      </c>
      <c r="AA21" s="111" t="s">
        <v>56</v>
      </c>
      <c r="AB21" s="111" t="s">
        <v>47</v>
      </c>
      <c r="AC21" s="111" t="s">
        <v>47</v>
      </c>
      <c r="AD21" s="111" t="s">
        <v>47</v>
      </c>
      <c r="AE21" s="111" t="s">
        <v>47</v>
      </c>
      <c r="AF21" s="14"/>
      <c r="AG21" s="14" t="s">
        <v>99</v>
      </c>
      <c r="AH21" s="14" t="s">
        <v>74</v>
      </c>
      <c r="AI21" s="14" t="s">
        <v>59</v>
      </c>
      <c r="AJ21" s="14"/>
      <c r="AK21" s="14" t="s">
        <v>99</v>
      </c>
      <c r="AL21" s="14" t="s">
        <v>74</v>
      </c>
      <c r="AM21" s="14" t="s">
        <v>59</v>
      </c>
      <c r="AN21" s="14"/>
      <c r="AO21" s="111" t="s">
        <v>99</v>
      </c>
      <c r="AP21" s="111" t="s">
        <v>60</v>
      </c>
      <c r="AQ21" s="14">
        <v>0</v>
      </c>
      <c r="AR21" s="14">
        <v>22</v>
      </c>
      <c r="AS21" s="19"/>
    </row>
    <row r="22" spans="1:45">
      <c r="A22" s="117" t="s">
        <v>349</v>
      </c>
      <c r="B22" s="102" t="s">
        <v>124</v>
      </c>
      <c r="C22" s="110" t="s">
        <v>125</v>
      </c>
      <c r="D22" s="110" t="s">
        <v>66</v>
      </c>
      <c r="E22" s="110" t="s">
        <v>66</v>
      </c>
      <c r="F22" s="110" t="s">
        <v>45</v>
      </c>
      <c r="G22" s="110" t="s">
        <v>67</v>
      </c>
      <c r="H22" s="110" t="s">
        <v>47</v>
      </c>
      <c r="I22" s="110" t="s">
        <v>47</v>
      </c>
      <c r="J22" s="13">
        <v>0</v>
      </c>
      <c r="K22" s="13">
        <v>0</v>
      </c>
      <c r="L22" s="110" t="s">
        <v>371</v>
      </c>
      <c r="M22" s="110" t="s">
        <v>69</v>
      </c>
      <c r="N22" s="110" t="s">
        <v>372</v>
      </c>
      <c r="O22" s="13" t="s">
        <v>373</v>
      </c>
      <c r="P22" s="13"/>
      <c r="Q22" s="13" t="s">
        <v>373</v>
      </c>
      <c r="R22" s="13" t="s">
        <v>373</v>
      </c>
      <c r="S22" s="110" t="s">
        <v>47</v>
      </c>
      <c r="T22" s="110" t="s">
        <v>51</v>
      </c>
      <c r="U22" s="13"/>
      <c r="V22" s="110" t="s">
        <v>52</v>
      </c>
      <c r="W22" s="110" t="s">
        <v>72</v>
      </c>
      <c r="X22" s="110" t="s">
        <v>47</v>
      </c>
      <c r="Y22" s="110" t="s">
        <v>54</v>
      </c>
      <c r="Z22" s="110" t="s">
        <v>55</v>
      </c>
      <c r="AA22" s="110" t="s">
        <v>56</v>
      </c>
      <c r="AB22" s="110" t="s">
        <v>47</v>
      </c>
      <c r="AC22" s="110" t="s">
        <v>47</v>
      </c>
      <c r="AD22" s="110" t="s">
        <v>47</v>
      </c>
      <c r="AE22" s="110" t="s">
        <v>47</v>
      </c>
      <c r="AF22" s="13"/>
      <c r="AG22" s="13" t="s">
        <v>99</v>
      </c>
      <c r="AH22" s="13" t="s">
        <v>74</v>
      </c>
      <c r="AI22" s="13" t="s">
        <v>59</v>
      </c>
      <c r="AJ22" s="13"/>
      <c r="AK22" s="13" t="s">
        <v>99</v>
      </c>
      <c r="AL22" s="13" t="s">
        <v>74</v>
      </c>
      <c r="AM22" s="13" t="s">
        <v>59</v>
      </c>
      <c r="AN22" s="13"/>
      <c r="AO22" s="110" t="s">
        <v>99</v>
      </c>
      <c r="AP22" s="110" t="s">
        <v>60</v>
      </c>
      <c r="AQ22" s="13">
        <v>0</v>
      </c>
      <c r="AR22" s="13">
        <v>5.7500000000000002E-2</v>
      </c>
      <c r="AS22" s="18"/>
    </row>
    <row r="23" spans="1:45">
      <c r="A23" s="117" t="s">
        <v>333</v>
      </c>
      <c r="B23" s="103" t="s">
        <v>126</v>
      </c>
      <c r="C23" s="111" t="s">
        <v>127</v>
      </c>
      <c r="D23" s="111" t="s">
        <v>66</v>
      </c>
      <c r="E23" s="111" t="s">
        <v>66</v>
      </c>
      <c r="F23" s="111" t="s">
        <v>45</v>
      </c>
      <c r="G23" s="111" t="s">
        <v>67</v>
      </c>
      <c r="H23" s="111" t="s">
        <v>47</v>
      </c>
      <c r="I23" s="111" t="s">
        <v>47</v>
      </c>
      <c r="J23" s="14">
        <v>1</v>
      </c>
      <c r="K23" s="14">
        <v>0</v>
      </c>
      <c r="L23" s="111" t="s">
        <v>371</v>
      </c>
      <c r="M23" s="111" t="s">
        <v>69</v>
      </c>
      <c r="N23" s="111" t="s">
        <v>372</v>
      </c>
      <c r="O23" s="14" t="s">
        <v>373</v>
      </c>
      <c r="P23" s="14">
        <v>25</v>
      </c>
      <c r="Q23" s="14" t="s">
        <v>374</v>
      </c>
      <c r="R23" s="14" t="s">
        <v>374</v>
      </c>
      <c r="S23" s="111" t="s">
        <v>47</v>
      </c>
      <c r="T23" s="111" t="s">
        <v>51</v>
      </c>
      <c r="U23" s="14"/>
      <c r="V23" s="111" t="s">
        <v>52</v>
      </c>
      <c r="W23" s="111" t="s">
        <v>72</v>
      </c>
      <c r="X23" s="111" t="s">
        <v>47</v>
      </c>
      <c r="Y23" s="111" t="s">
        <v>54</v>
      </c>
      <c r="Z23" s="111" t="s">
        <v>55</v>
      </c>
      <c r="AA23" s="111" t="s">
        <v>56</v>
      </c>
      <c r="AB23" s="111" t="s">
        <v>47</v>
      </c>
      <c r="AC23" s="111" t="s">
        <v>47</v>
      </c>
      <c r="AD23" s="111" t="s">
        <v>47</v>
      </c>
      <c r="AE23" s="111" t="s">
        <v>47</v>
      </c>
      <c r="AF23" s="14"/>
      <c r="AG23" s="14" t="s">
        <v>94</v>
      </c>
      <c r="AH23" s="14" t="s">
        <v>74</v>
      </c>
      <c r="AI23" s="14" t="s">
        <v>59</v>
      </c>
      <c r="AJ23" s="14"/>
      <c r="AK23" s="14" t="s">
        <v>94</v>
      </c>
      <c r="AL23" s="14" t="s">
        <v>74</v>
      </c>
      <c r="AM23" s="14" t="s">
        <v>59</v>
      </c>
      <c r="AN23" s="14"/>
      <c r="AO23" s="111" t="s">
        <v>94</v>
      </c>
      <c r="AP23" s="111" t="s">
        <v>60</v>
      </c>
      <c r="AQ23" s="14">
        <v>0</v>
      </c>
      <c r="AR23" s="14">
        <v>0.45200000000000001</v>
      </c>
      <c r="AS23" s="19"/>
    </row>
    <row r="24" spans="1:45">
      <c r="A24" s="117" t="s">
        <v>334</v>
      </c>
      <c r="B24" s="102" t="s">
        <v>128</v>
      </c>
      <c r="C24" s="110" t="s">
        <v>129</v>
      </c>
      <c r="D24" s="110" t="s">
        <v>66</v>
      </c>
      <c r="E24" s="110" t="s">
        <v>66</v>
      </c>
      <c r="F24" s="110" t="s">
        <v>45</v>
      </c>
      <c r="G24" s="110" t="s">
        <v>67</v>
      </c>
      <c r="H24" s="110" t="s">
        <v>47</v>
      </c>
      <c r="I24" s="110" t="s">
        <v>47</v>
      </c>
      <c r="J24" s="13">
        <v>1</v>
      </c>
      <c r="K24" s="13">
        <v>0</v>
      </c>
      <c r="L24" s="110" t="s">
        <v>371</v>
      </c>
      <c r="M24" s="110" t="s">
        <v>69</v>
      </c>
      <c r="N24" s="110" t="s">
        <v>372</v>
      </c>
      <c r="O24" s="13" t="s">
        <v>373</v>
      </c>
      <c r="P24" s="13">
        <v>10</v>
      </c>
      <c r="Q24" s="13" t="s">
        <v>374</v>
      </c>
      <c r="R24" s="13" t="s">
        <v>374</v>
      </c>
      <c r="S24" s="110" t="s">
        <v>47</v>
      </c>
      <c r="T24" s="110" t="s">
        <v>51</v>
      </c>
      <c r="U24" s="13"/>
      <c r="V24" s="110" t="s">
        <v>52</v>
      </c>
      <c r="W24" s="110" t="s">
        <v>72</v>
      </c>
      <c r="X24" s="110" t="s">
        <v>47</v>
      </c>
      <c r="Y24" s="110" t="s">
        <v>54</v>
      </c>
      <c r="Z24" s="110" t="s">
        <v>55</v>
      </c>
      <c r="AA24" s="110" t="s">
        <v>56</v>
      </c>
      <c r="AB24" s="110" t="s">
        <v>47</v>
      </c>
      <c r="AC24" s="110" t="s">
        <v>47</v>
      </c>
      <c r="AD24" s="110" t="s">
        <v>47</v>
      </c>
      <c r="AE24" s="110" t="s">
        <v>47</v>
      </c>
      <c r="AF24" s="13"/>
      <c r="AG24" s="13" t="s">
        <v>73</v>
      </c>
      <c r="AH24" s="13" t="s">
        <v>74</v>
      </c>
      <c r="AI24" s="13" t="s">
        <v>59</v>
      </c>
      <c r="AJ24" s="13"/>
      <c r="AK24" s="13" t="s">
        <v>73</v>
      </c>
      <c r="AL24" s="13" t="s">
        <v>74</v>
      </c>
      <c r="AM24" s="13" t="s">
        <v>59</v>
      </c>
      <c r="AN24" s="13"/>
      <c r="AO24" s="110" t="s">
        <v>73</v>
      </c>
      <c r="AP24" s="110" t="s">
        <v>60</v>
      </c>
      <c r="AQ24" s="13">
        <v>0</v>
      </c>
      <c r="AR24" s="13">
        <v>8.0399999999999991</v>
      </c>
      <c r="AS24" s="18"/>
    </row>
    <row r="25" spans="1:45">
      <c r="A25" s="117" t="s">
        <v>130</v>
      </c>
      <c r="B25" s="103" t="s">
        <v>130</v>
      </c>
      <c r="C25" s="111" t="s">
        <v>378</v>
      </c>
      <c r="D25" s="111" t="s">
        <v>44</v>
      </c>
      <c r="E25" s="111" t="s">
        <v>44</v>
      </c>
      <c r="F25" s="111" t="s">
        <v>45</v>
      </c>
      <c r="G25" s="111" t="s">
        <v>62</v>
      </c>
      <c r="H25" s="111" t="s">
        <v>47</v>
      </c>
      <c r="I25" s="111" t="s">
        <v>47</v>
      </c>
      <c r="J25" s="14">
        <v>28.4</v>
      </c>
      <c r="K25" s="14">
        <v>0</v>
      </c>
      <c r="L25" s="111" t="s">
        <v>48</v>
      </c>
      <c r="M25" s="111" t="s">
        <v>48</v>
      </c>
      <c r="N25" s="111" t="s">
        <v>48</v>
      </c>
      <c r="O25" s="14" t="s">
        <v>367</v>
      </c>
      <c r="P25" s="14"/>
      <c r="Q25" s="14" t="s">
        <v>379</v>
      </c>
      <c r="R25" s="14" t="s">
        <v>379</v>
      </c>
      <c r="S25" s="111" t="s">
        <v>47</v>
      </c>
      <c r="T25" s="111" t="s">
        <v>51</v>
      </c>
      <c r="U25" s="14"/>
      <c r="V25" s="111" t="s">
        <v>52</v>
      </c>
      <c r="W25" s="111" t="s">
        <v>53</v>
      </c>
      <c r="X25" s="111" t="s">
        <v>47</v>
      </c>
      <c r="Y25" s="111" t="s">
        <v>54</v>
      </c>
      <c r="Z25" s="111" t="s">
        <v>55</v>
      </c>
      <c r="AA25" s="111" t="s">
        <v>56</v>
      </c>
      <c r="AB25" s="111" t="s">
        <v>47</v>
      </c>
      <c r="AC25" s="111" t="s">
        <v>47</v>
      </c>
      <c r="AD25" s="111" t="s">
        <v>47</v>
      </c>
      <c r="AE25" s="111" t="s">
        <v>47</v>
      </c>
      <c r="AF25" s="14"/>
      <c r="AG25" s="14" t="s">
        <v>57</v>
      </c>
      <c r="AH25" s="14" t="s">
        <v>58</v>
      </c>
      <c r="AI25" s="14" t="s">
        <v>59</v>
      </c>
      <c r="AJ25" s="14"/>
      <c r="AK25" s="14" t="s">
        <v>57</v>
      </c>
      <c r="AL25" s="14" t="s">
        <v>58</v>
      </c>
      <c r="AM25" s="14" t="s">
        <v>59</v>
      </c>
      <c r="AN25" s="14"/>
      <c r="AO25" s="111" t="s">
        <v>57</v>
      </c>
      <c r="AP25" s="111" t="s">
        <v>60</v>
      </c>
      <c r="AQ25" s="14">
        <v>0</v>
      </c>
      <c r="AR25" s="14">
        <v>0.63109999999999999</v>
      </c>
      <c r="AS25" s="19"/>
    </row>
    <row r="26" spans="1:45">
      <c r="A26" s="117" t="s">
        <v>132</v>
      </c>
      <c r="B26" s="102" t="s">
        <v>132</v>
      </c>
      <c r="C26" s="110" t="s">
        <v>380</v>
      </c>
      <c r="D26" s="110" t="s">
        <v>44</v>
      </c>
      <c r="E26" s="110" t="s">
        <v>44</v>
      </c>
      <c r="F26" s="110" t="s">
        <v>45</v>
      </c>
      <c r="G26" s="110" t="s">
        <v>62</v>
      </c>
      <c r="H26" s="110" t="s">
        <v>47</v>
      </c>
      <c r="I26" s="110" t="s">
        <v>47</v>
      </c>
      <c r="J26" s="13">
        <v>25</v>
      </c>
      <c r="K26" s="13">
        <v>0</v>
      </c>
      <c r="L26" s="110" t="s">
        <v>48</v>
      </c>
      <c r="M26" s="110" t="s">
        <v>48</v>
      </c>
      <c r="N26" s="110" t="s">
        <v>48</v>
      </c>
      <c r="O26" s="13" t="s">
        <v>367</v>
      </c>
      <c r="P26" s="13"/>
      <c r="Q26" s="13" t="s">
        <v>57</v>
      </c>
      <c r="R26" s="13" t="s">
        <v>57</v>
      </c>
      <c r="S26" s="110" t="s">
        <v>47</v>
      </c>
      <c r="T26" s="110" t="s">
        <v>51</v>
      </c>
      <c r="U26" s="13"/>
      <c r="V26" s="110" t="s">
        <v>52</v>
      </c>
      <c r="W26" s="110" t="s">
        <v>53</v>
      </c>
      <c r="X26" s="110" t="s">
        <v>47</v>
      </c>
      <c r="Y26" s="110" t="s">
        <v>54</v>
      </c>
      <c r="Z26" s="110" t="s">
        <v>55</v>
      </c>
      <c r="AA26" s="110" t="s">
        <v>56</v>
      </c>
      <c r="AB26" s="110" t="s">
        <v>47</v>
      </c>
      <c r="AC26" s="110" t="s">
        <v>47</v>
      </c>
      <c r="AD26" s="110" t="s">
        <v>47</v>
      </c>
      <c r="AE26" s="110" t="s">
        <v>47</v>
      </c>
      <c r="AF26" s="13"/>
      <c r="AG26" s="13" t="s">
        <v>57</v>
      </c>
      <c r="AH26" s="13" t="s">
        <v>58</v>
      </c>
      <c r="AI26" s="13" t="s">
        <v>59</v>
      </c>
      <c r="AJ26" s="13"/>
      <c r="AK26" s="13" t="s">
        <v>57</v>
      </c>
      <c r="AL26" s="13" t="s">
        <v>58</v>
      </c>
      <c r="AM26" s="13" t="s">
        <v>59</v>
      </c>
      <c r="AN26" s="13"/>
      <c r="AO26" s="110" t="s">
        <v>57</v>
      </c>
      <c r="AP26" s="110" t="s">
        <v>60</v>
      </c>
      <c r="AQ26" s="13">
        <v>40</v>
      </c>
      <c r="AR26" s="13">
        <v>0.30109999999999998</v>
      </c>
      <c r="AS26" s="18"/>
    </row>
    <row r="27" spans="1:45">
      <c r="A27" s="117" t="s">
        <v>426</v>
      </c>
      <c r="B27" s="103" t="s">
        <v>133</v>
      </c>
      <c r="C27" s="111" t="s">
        <v>133</v>
      </c>
      <c r="D27" s="111" t="s">
        <v>77</v>
      </c>
      <c r="E27" s="111" t="s">
        <v>78</v>
      </c>
      <c r="F27" s="111" t="s">
        <v>79</v>
      </c>
      <c r="G27" s="111" t="s">
        <v>79</v>
      </c>
      <c r="H27" s="111" t="s">
        <v>47</v>
      </c>
      <c r="I27" s="111" t="s">
        <v>47</v>
      </c>
      <c r="J27" s="14">
        <v>0</v>
      </c>
      <c r="K27" s="14">
        <v>0</v>
      </c>
      <c r="L27" s="111" t="s">
        <v>48</v>
      </c>
      <c r="M27" s="111" t="s">
        <v>69</v>
      </c>
      <c r="N27" s="111" t="s">
        <v>48</v>
      </c>
      <c r="O27" s="14" t="s">
        <v>85</v>
      </c>
      <c r="P27" s="14"/>
      <c r="Q27" s="14" t="s">
        <v>85</v>
      </c>
      <c r="R27" s="14" t="s">
        <v>85</v>
      </c>
      <c r="S27" s="111" t="s">
        <v>47</v>
      </c>
      <c r="T27" s="111" t="s">
        <v>51</v>
      </c>
      <c r="U27" s="14"/>
      <c r="V27" s="111" t="s">
        <v>52</v>
      </c>
      <c r="W27" s="111" t="s">
        <v>134</v>
      </c>
      <c r="X27" s="111" t="s">
        <v>47</v>
      </c>
      <c r="Y27" s="111" t="s">
        <v>54</v>
      </c>
      <c r="Z27" s="111" t="s">
        <v>55</v>
      </c>
      <c r="AA27" s="111" t="s">
        <v>56</v>
      </c>
      <c r="AB27" s="111" t="s">
        <v>77</v>
      </c>
      <c r="AC27" s="111" t="s">
        <v>135</v>
      </c>
      <c r="AD27" s="111" t="s">
        <v>47</v>
      </c>
      <c r="AE27" s="111" t="s">
        <v>47</v>
      </c>
      <c r="AF27" s="14"/>
      <c r="AG27" s="14" t="s">
        <v>85</v>
      </c>
      <c r="AH27" s="14" t="s">
        <v>74</v>
      </c>
      <c r="AI27" s="14" t="s">
        <v>84</v>
      </c>
      <c r="AJ27" s="14"/>
      <c r="AK27" s="14" t="s">
        <v>85</v>
      </c>
      <c r="AL27" s="14" t="s">
        <v>74</v>
      </c>
      <c r="AM27" s="14" t="s">
        <v>84</v>
      </c>
      <c r="AN27" s="14"/>
      <c r="AO27" s="111" t="s">
        <v>85</v>
      </c>
      <c r="AP27" s="111" t="s">
        <v>60</v>
      </c>
      <c r="AQ27" s="14">
        <v>0</v>
      </c>
      <c r="AR27" s="14">
        <v>0</v>
      </c>
      <c r="AS27" s="19"/>
    </row>
    <row r="28" spans="1:45">
      <c r="A28" s="117" t="s">
        <v>427</v>
      </c>
      <c r="B28" s="102" t="s">
        <v>136</v>
      </c>
      <c r="C28" s="110" t="s">
        <v>136</v>
      </c>
      <c r="D28" s="110" t="s">
        <v>77</v>
      </c>
      <c r="E28" s="110" t="s">
        <v>78</v>
      </c>
      <c r="F28" s="110" t="s">
        <v>79</v>
      </c>
      <c r="G28" s="110" t="s">
        <v>79</v>
      </c>
      <c r="H28" s="110" t="s">
        <v>47</v>
      </c>
      <c r="I28" s="110" t="s">
        <v>47</v>
      </c>
      <c r="J28" s="13">
        <v>0</v>
      </c>
      <c r="K28" s="13">
        <v>0</v>
      </c>
      <c r="L28" s="110" t="s">
        <v>48</v>
      </c>
      <c r="M28" s="110" t="s">
        <v>69</v>
      </c>
      <c r="N28" s="110" t="s">
        <v>48</v>
      </c>
      <c r="O28" s="13" t="s">
        <v>85</v>
      </c>
      <c r="P28" s="13"/>
      <c r="Q28" s="13" t="s">
        <v>85</v>
      </c>
      <c r="R28" s="13" t="s">
        <v>85</v>
      </c>
      <c r="S28" s="110" t="s">
        <v>47</v>
      </c>
      <c r="T28" s="110" t="s">
        <v>51</v>
      </c>
      <c r="U28" s="13"/>
      <c r="V28" s="110" t="s">
        <v>52</v>
      </c>
      <c r="W28" s="110" t="s">
        <v>134</v>
      </c>
      <c r="X28" s="110" t="s">
        <v>47</v>
      </c>
      <c r="Y28" s="110" t="s">
        <v>54</v>
      </c>
      <c r="Z28" s="110" t="s">
        <v>55</v>
      </c>
      <c r="AA28" s="110" t="s">
        <v>56</v>
      </c>
      <c r="AB28" s="110" t="s">
        <v>77</v>
      </c>
      <c r="AC28" s="110" t="s">
        <v>135</v>
      </c>
      <c r="AD28" s="110" t="s">
        <v>47</v>
      </c>
      <c r="AE28" s="110" t="s">
        <v>47</v>
      </c>
      <c r="AF28" s="13"/>
      <c r="AG28" s="13" t="s">
        <v>85</v>
      </c>
      <c r="AH28" s="13" t="s">
        <v>74</v>
      </c>
      <c r="AI28" s="13" t="s">
        <v>84</v>
      </c>
      <c r="AJ28" s="13"/>
      <c r="AK28" s="13" t="s">
        <v>85</v>
      </c>
      <c r="AL28" s="13" t="s">
        <v>74</v>
      </c>
      <c r="AM28" s="13" t="s">
        <v>84</v>
      </c>
      <c r="AN28" s="13"/>
      <c r="AO28" s="110" t="s">
        <v>85</v>
      </c>
      <c r="AP28" s="110" t="s">
        <v>60</v>
      </c>
      <c r="AQ28" s="13">
        <v>0</v>
      </c>
      <c r="AR28" s="13">
        <v>0</v>
      </c>
      <c r="AS28" s="18"/>
    </row>
    <row r="29" spans="1:45">
      <c r="A29" s="117" t="s">
        <v>357</v>
      </c>
      <c r="B29" s="103" t="s">
        <v>137</v>
      </c>
      <c r="C29" s="111" t="s">
        <v>138</v>
      </c>
      <c r="D29" s="111" t="s">
        <v>66</v>
      </c>
      <c r="E29" s="111" t="s">
        <v>66</v>
      </c>
      <c r="F29" s="111" t="s">
        <v>45</v>
      </c>
      <c r="G29" s="111" t="s">
        <v>67</v>
      </c>
      <c r="H29" s="111" t="s">
        <v>47</v>
      </c>
      <c r="I29" s="111" t="s">
        <v>47</v>
      </c>
      <c r="J29" s="14">
        <v>0</v>
      </c>
      <c r="K29" s="14">
        <v>0</v>
      </c>
      <c r="L29" s="111" t="s">
        <v>371</v>
      </c>
      <c r="M29" s="111" t="s">
        <v>69</v>
      </c>
      <c r="N29" s="111" t="s">
        <v>372</v>
      </c>
      <c r="O29" s="14" t="s">
        <v>373</v>
      </c>
      <c r="P29" s="14"/>
      <c r="Q29" s="14" t="s">
        <v>373</v>
      </c>
      <c r="R29" s="14" t="s">
        <v>373</v>
      </c>
      <c r="S29" s="111" t="s">
        <v>47</v>
      </c>
      <c r="T29" s="111" t="s">
        <v>51</v>
      </c>
      <c r="U29" s="14"/>
      <c r="V29" s="111" t="s">
        <v>52</v>
      </c>
      <c r="W29" s="111" t="s">
        <v>72</v>
      </c>
      <c r="X29" s="111" t="s">
        <v>47</v>
      </c>
      <c r="Y29" s="111" t="s">
        <v>54</v>
      </c>
      <c r="Z29" s="111" t="s">
        <v>55</v>
      </c>
      <c r="AA29" s="111" t="s">
        <v>56</v>
      </c>
      <c r="AB29" s="111" t="s">
        <v>47</v>
      </c>
      <c r="AC29" s="111" t="s">
        <v>47</v>
      </c>
      <c r="AD29" s="111" t="s">
        <v>47</v>
      </c>
      <c r="AE29" s="111" t="s">
        <v>47</v>
      </c>
      <c r="AF29" s="14"/>
      <c r="AG29" s="14" t="s">
        <v>99</v>
      </c>
      <c r="AH29" s="14" t="s">
        <v>74</v>
      </c>
      <c r="AI29" s="14" t="s">
        <v>59</v>
      </c>
      <c r="AJ29" s="14"/>
      <c r="AK29" s="14" t="s">
        <v>99</v>
      </c>
      <c r="AL29" s="14" t="s">
        <v>74</v>
      </c>
      <c r="AM29" s="14" t="s">
        <v>59</v>
      </c>
      <c r="AN29" s="14"/>
      <c r="AO29" s="111" t="s">
        <v>99</v>
      </c>
      <c r="AP29" s="111" t="s">
        <v>60</v>
      </c>
      <c r="AQ29" s="14">
        <v>0</v>
      </c>
      <c r="AR29" s="14">
        <v>45.2</v>
      </c>
      <c r="AS29" s="19"/>
    </row>
    <row r="30" spans="1:45">
      <c r="A30" s="117" t="s">
        <v>344</v>
      </c>
      <c r="B30" s="102" t="s">
        <v>139</v>
      </c>
      <c r="C30" s="110" t="s">
        <v>140</v>
      </c>
      <c r="D30" s="110" t="s">
        <v>66</v>
      </c>
      <c r="E30" s="110" t="s">
        <v>66</v>
      </c>
      <c r="F30" s="110" t="s">
        <v>45</v>
      </c>
      <c r="G30" s="110" t="s">
        <v>67</v>
      </c>
      <c r="H30" s="110" t="s">
        <v>47</v>
      </c>
      <c r="I30" s="110" t="s">
        <v>47</v>
      </c>
      <c r="J30" s="13">
        <v>1</v>
      </c>
      <c r="K30" s="13">
        <v>0</v>
      </c>
      <c r="L30" s="110" t="s">
        <v>371</v>
      </c>
      <c r="M30" s="110" t="s">
        <v>69</v>
      </c>
      <c r="N30" s="110" t="s">
        <v>372</v>
      </c>
      <c r="O30" s="13" t="s">
        <v>373</v>
      </c>
      <c r="P30" s="13">
        <v>125</v>
      </c>
      <c r="Q30" s="13" t="s">
        <v>368</v>
      </c>
      <c r="R30" s="13" t="s">
        <v>368</v>
      </c>
      <c r="S30" s="110" t="s">
        <v>47</v>
      </c>
      <c r="T30" s="110" t="s">
        <v>51</v>
      </c>
      <c r="U30" s="13"/>
      <c r="V30" s="110" t="s">
        <v>52</v>
      </c>
      <c r="W30" s="110" t="s">
        <v>72</v>
      </c>
      <c r="X30" s="110" t="s">
        <v>47</v>
      </c>
      <c r="Y30" s="110" t="s">
        <v>54</v>
      </c>
      <c r="Z30" s="110" t="s">
        <v>55</v>
      </c>
      <c r="AA30" s="110" t="s">
        <v>56</v>
      </c>
      <c r="AB30" s="110" t="s">
        <v>47</v>
      </c>
      <c r="AC30" s="110" t="s">
        <v>47</v>
      </c>
      <c r="AD30" s="110" t="s">
        <v>47</v>
      </c>
      <c r="AE30" s="110" t="s">
        <v>47</v>
      </c>
      <c r="AF30" s="13"/>
      <c r="AG30" s="13" t="s">
        <v>73</v>
      </c>
      <c r="AH30" s="13" t="s">
        <v>74</v>
      </c>
      <c r="AI30" s="13" t="s">
        <v>59</v>
      </c>
      <c r="AJ30" s="13"/>
      <c r="AK30" s="13" t="s">
        <v>73</v>
      </c>
      <c r="AL30" s="13" t="s">
        <v>74</v>
      </c>
      <c r="AM30" s="13" t="s">
        <v>59</v>
      </c>
      <c r="AN30" s="13"/>
      <c r="AO30" s="110" t="s">
        <v>73</v>
      </c>
      <c r="AP30" s="110" t="s">
        <v>60</v>
      </c>
      <c r="AQ30" s="13">
        <v>0</v>
      </c>
      <c r="AR30" s="13">
        <v>2.4</v>
      </c>
      <c r="AS30" s="18"/>
    </row>
    <row r="31" spans="1:45">
      <c r="A31" s="117" t="s">
        <v>428</v>
      </c>
      <c r="B31" s="103" t="s">
        <v>141</v>
      </c>
      <c r="C31" s="111" t="s">
        <v>141</v>
      </c>
      <c r="D31" s="111" t="s">
        <v>77</v>
      </c>
      <c r="E31" s="111" t="s">
        <v>78</v>
      </c>
      <c r="F31" s="111" t="s">
        <v>79</v>
      </c>
      <c r="G31" s="111" t="s">
        <v>79</v>
      </c>
      <c r="H31" s="111" t="s">
        <v>47</v>
      </c>
      <c r="I31" s="111" t="s">
        <v>47</v>
      </c>
      <c r="J31" s="14">
        <v>0</v>
      </c>
      <c r="K31" s="14">
        <v>0</v>
      </c>
      <c r="L31" s="111" t="s">
        <v>48</v>
      </c>
      <c r="M31" s="111" t="s">
        <v>69</v>
      </c>
      <c r="N31" s="111" t="s">
        <v>48</v>
      </c>
      <c r="O31" s="14" t="s">
        <v>85</v>
      </c>
      <c r="P31" s="14"/>
      <c r="Q31" s="14" t="s">
        <v>85</v>
      </c>
      <c r="R31" s="14" t="s">
        <v>85</v>
      </c>
      <c r="S31" s="111" t="s">
        <v>47</v>
      </c>
      <c r="T31" s="111" t="s">
        <v>51</v>
      </c>
      <c r="U31" s="14"/>
      <c r="V31" s="111" t="s">
        <v>52</v>
      </c>
      <c r="W31" s="111" t="s">
        <v>81</v>
      </c>
      <c r="X31" s="111" t="s">
        <v>47</v>
      </c>
      <c r="Y31" s="111" t="s">
        <v>54</v>
      </c>
      <c r="Z31" s="111" t="s">
        <v>55</v>
      </c>
      <c r="AA31" s="111" t="s">
        <v>56</v>
      </c>
      <c r="AB31" s="111" t="s">
        <v>77</v>
      </c>
      <c r="AC31" s="111" t="s">
        <v>135</v>
      </c>
      <c r="AD31" s="111" t="s">
        <v>47</v>
      </c>
      <c r="AE31" s="111" t="s">
        <v>47</v>
      </c>
      <c r="AF31" s="14"/>
      <c r="AG31" s="14" t="s">
        <v>85</v>
      </c>
      <c r="AH31" s="14" t="s">
        <v>74</v>
      </c>
      <c r="AI31" s="14" t="s">
        <v>84</v>
      </c>
      <c r="AJ31" s="14"/>
      <c r="AK31" s="14" t="s">
        <v>85</v>
      </c>
      <c r="AL31" s="14" t="s">
        <v>74</v>
      </c>
      <c r="AM31" s="14" t="s">
        <v>84</v>
      </c>
      <c r="AN31" s="14"/>
      <c r="AO31" s="111" t="s">
        <v>85</v>
      </c>
      <c r="AP31" s="111" t="s">
        <v>60</v>
      </c>
      <c r="AQ31" s="14">
        <v>0</v>
      </c>
      <c r="AR31" s="14">
        <v>0</v>
      </c>
      <c r="AS31" s="19"/>
    </row>
    <row r="32" spans="1:45">
      <c r="A32" s="117" t="s">
        <v>429</v>
      </c>
      <c r="B32" s="102" t="s">
        <v>142</v>
      </c>
      <c r="C32" s="110" t="s">
        <v>142</v>
      </c>
      <c r="D32" s="110" t="s">
        <v>77</v>
      </c>
      <c r="E32" s="110" t="s">
        <v>78</v>
      </c>
      <c r="F32" s="110" t="s">
        <v>79</v>
      </c>
      <c r="G32" s="110" t="s">
        <v>79</v>
      </c>
      <c r="H32" s="110" t="s">
        <v>47</v>
      </c>
      <c r="I32" s="110" t="s">
        <v>47</v>
      </c>
      <c r="J32" s="13">
        <v>0</v>
      </c>
      <c r="K32" s="13">
        <v>0</v>
      </c>
      <c r="L32" s="110" t="s">
        <v>48</v>
      </c>
      <c r="M32" s="110" t="s">
        <v>69</v>
      </c>
      <c r="N32" s="110" t="s">
        <v>48</v>
      </c>
      <c r="O32" s="13" t="s">
        <v>85</v>
      </c>
      <c r="P32" s="13"/>
      <c r="Q32" s="13" t="s">
        <v>85</v>
      </c>
      <c r="R32" s="13" t="s">
        <v>85</v>
      </c>
      <c r="S32" s="110" t="s">
        <v>47</v>
      </c>
      <c r="T32" s="110" t="s">
        <v>51</v>
      </c>
      <c r="U32" s="13"/>
      <c r="V32" s="110" t="s">
        <v>52</v>
      </c>
      <c r="W32" s="110" t="s">
        <v>81</v>
      </c>
      <c r="X32" s="110" t="s">
        <v>47</v>
      </c>
      <c r="Y32" s="110" t="s">
        <v>54</v>
      </c>
      <c r="Z32" s="110" t="s">
        <v>55</v>
      </c>
      <c r="AA32" s="110" t="s">
        <v>56</v>
      </c>
      <c r="AB32" s="110" t="s">
        <v>77</v>
      </c>
      <c r="AC32" s="110" t="s">
        <v>135</v>
      </c>
      <c r="AD32" s="110" t="s">
        <v>47</v>
      </c>
      <c r="AE32" s="110" t="s">
        <v>47</v>
      </c>
      <c r="AF32" s="13"/>
      <c r="AG32" s="13" t="s">
        <v>85</v>
      </c>
      <c r="AH32" s="13" t="s">
        <v>74</v>
      </c>
      <c r="AI32" s="13" t="s">
        <v>84</v>
      </c>
      <c r="AJ32" s="13"/>
      <c r="AK32" s="13" t="s">
        <v>85</v>
      </c>
      <c r="AL32" s="13" t="s">
        <v>74</v>
      </c>
      <c r="AM32" s="13" t="s">
        <v>84</v>
      </c>
      <c r="AN32" s="13"/>
      <c r="AO32" s="110" t="s">
        <v>85</v>
      </c>
      <c r="AP32" s="110" t="s">
        <v>60</v>
      </c>
      <c r="AQ32" s="13">
        <v>0</v>
      </c>
      <c r="AR32" s="13">
        <v>0</v>
      </c>
      <c r="AS32" s="18"/>
    </row>
    <row r="33" spans="1:45">
      <c r="A33" s="117" t="s">
        <v>430</v>
      </c>
      <c r="B33" s="103" t="s">
        <v>143</v>
      </c>
      <c r="C33" s="111" t="s">
        <v>143</v>
      </c>
      <c r="D33" s="111" t="s">
        <v>77</v>
      </c>
      <c r="E33" s="111" t="s">
        <v>78</v>
      </c>
      <c r="F33" s="111" t="s">
        <v>79</v>
      </c>
      <c r="G33" s="111" t="s">
        <v>79</v>
      </c>
      <c r="H33" s="111" t="s">
        <v>47</v>
      </c>
      <c r="I33" s="111" t="s">
        <v>47</v>
      </c>
      <c r="J33" s="14">
        <v>0</v>
      </c>
      <c r="K33" s="14">
        <v>0</v>
      </c>
      <c r="L33" s="111" t="s">
        <v>48</v>
      </c>
      <c r="M33" s="111" t="s">
        <v>69</v>
      </c>
      <c r="N33" s="111" t="s">
        <v>48</v>
      </c>
      <c r="O33" s="14" t="s">
        <v>85</v>
      </c>
      <c r="P33" s="14"/>
      <c r="Q33" s="14" t="s">
        <v>85</v>
      </c>
      <c r="R33" s="14" t="s">
        <v>85</v>
      </c>
      <c r="S33" s="111" t="s">
        <v>47</v>
      </c>
      <c r="T33" s="111" t="s">
        <v>51</v>
      </c>
      <c r="U33" s="14"/>
      <c r="V33" s="111" t="s">
        <v>52</v>
      </c>
      <c r="W33" s="111" t="s">
        <v>134</v>
      </c>
      <c r="X33" s="111" t="s">
        <v>47</v>
      </c>
      <c r="Y33" s="111" t="s">
        <v>54</v>
      </c>
      <c r="Z33" s="111" t="s">
        <v>55</v>
      </c>
      <c r="AA33" s="111" t="s">
        <v>56</v>
      </c>
      <c r="AB33" s="111" t="s">
        <v>77</v>
      </c>
      <c r="AC33" s="111" t="s">
        <v>135</v>
      </c>
      <c r="AD33" s="111" t="s">
        <v>47</v>
      </c>
      <c r="AE33" s="111" t="s">
        <v>47</v>
      </c>
      <c r="AF33" s="14"/>
      <c r="AG33" s="14" t="s">
        <v>85</v>
      </c>
      <c r="AH33" s="14" t="s">
        <v>74</v>
      </c>
      <c r="AI33" s="14" t="s">
        <v>84</v>
      </c>
      <c r="AJ33" s="14"/>
      <c r="AK33" s="14" t="s">
        <v>85</v>
      </c>
      <c r="AL33" s="14" t="s">
        <v>74</v>
      </c>
      <c r="AM33" s="14" t="s">
        <v>84</v>
      </c>
      <c r="AN33" s="14"/>
      <c r="AO33" s="111" t="s">
        <v>85</v>
      </c>
      <c r="AP33" s="111" t="s">
        <v>60</v>
      </c>
      <c r="AQ33" s="14">
        <v>0</v>
      </c>
      <c r="AR33" s="14">
        <v>0</v>
      </c>
      <c r="AS33" s="19"/>
    </row>
    <row r="34" spans="1:45">
      <c r="A34" s="117" t="s">
        <v>431</v>
      </c>
      <c r="B34" s="102" t="s">
        <v>144</v>
      </c>
      <c r="C34" s="110" t="s">
        <v>144</v>
      </c>
      <c r="D34" s="110" t="s">
        <v>77</v>
      </c>
      <c r="E34" s="110" t="s">
        <v>78</v>
      </c>
      <c r="F34" s="110" t="s">
        <v>79</v>
      </c>
      <c r="G34" s="110" t="s">
        <v>79</v>
      </c>
      <c r="H34" s="110" t="s">
        <v>47</v>
      </c>
      <c r="I34" s="110" t="s">
        <v>47</v>
      </c>
      <c r="J34" s="13">
        <v>0</v>
      </c>
      <c r="K34" s="13">
        <v>0</v>
      </c>
      <c r="L34" s="110" t="s">
        <v>48</v>
      </c>
      <c r="M34" s="110" t="s">
        <v>69</v>
      </c>
      <c r="N34" s="110" t="s">
        <v>48</v>
      </c>
      <c r="O34" s="13" t="s">
        <v>85</v>
      </c>
      <c r="P34" s="13"/>
      <c r="Q34" s="13" t="s">
        <v>85</v>
      </c>
      <c r="R34" s="13" t="s">
        <v>85</v>
      </c>
      <c r="S34" s="110" t="s">
        <v>47</v>
      </c>
      <c r="T34" s="110" t="s">
        <v>51</v>
      </c>
      <c r="U34" s="13"/>
      <c r="V34" s="110" t="s">
        <v>52</v>
      </c>
      <c r="W34" s="110" t="s">
        <v>134</v>
      </c>
      <c r="X34" s="110" t="s">
        <v>47</v>
      </c>
      <c r="Y34" s="110" t="s">
        <v>54</v>
      </c>
      <c r="Z34" s="110" t="s">
        <v>55</v>
      </c>
      <c r="AA34" s="110" t="s">
        <v>56</v>
      </c>
      <c r="AB34" s="110" t="s">
        <v>77</v>
      </c>
      <c r="AC34" s="110" t="s">
        <v>135</v>
      </c>
      <c r="AD34" s="110" t="s">
        <v>47</v>
      </c>
      <c r="AE34" s="110" t="s">
        <v>47</v>
      </c>
      <c r="AF34" s="13"/>
      <c r="AG34" s="13" t="s">
        <v>85</v>
      </c>
      <c r="AH34" s="13" t="s">
        <v>74</v>
      </c>
      <c r="AI34" s="13" t="s">
        <v>84</v>
      </c>
      <c r="AJ34" s="13"/>
      <c r="AK34" s="13" t="s">
        <v>85</v>
      </c>
      <c r="AL34" s="13" t="s">
        <v>74</v>
      </c>
      <c r="AM34" s="13" t="s">
        <v>84</v>
      </c>
      <c r="AN34" s="13"/>
      <c r="AO34" s="110" t="s">
        <v>85</v>
      </c>
      <c r="AP34" s="110" t="s">
        <v>60</v>
      </c>
      <c r="AQ34" s="13">
        <v>0</v>
      </c>
      <c r="AR34" s="13">
        <v>0</v>
      </c>
      <c r="AS34" s="18"/>
    </row>
    <row r="35" spans="1:45">
      <c r="A35" s="117" t="s">
        <v>432</v>
      </c>
      <c r="B35" s="103" t="s">
        <v>145</v>
      </c>
      <c r="C35" s="111" t="s">
        <v>145</v>
      </c>
      <c r="D35" s="111" t="s">
        <v>77</v>
      </c>
      <c r="E35" s="111" t="s">
        <v>78</v>
      </c>
      <c r="F35" s="111" t="s">
        <v>79</v>
      </c>
      <c r="G35" s="111" t="s">
        <v>79</v>
      </c>
      <c r="H35" s="111" t="s">
        <v>47</v>
      </c>
      <c r="I35" s="111" t="s">
        <v>47</v>
      </c>
      <c r="J35" s="14">
        <v>0</v>
      </c>
      <c r="K35" s="14">
        <v>0</v>
      </c>
      <c r="L35" s="111" t="s">
        <v>48</v>
      </c>
      <c r="M35" s="111" t="s">
        <v>69</v>
      </c>
      <c r="N35" s="111" t="s">
        <v>48</v>
      </c>
      <c r="O35" s="14" t="s">
        <v>85</v>
      </c>
      <c r="P35" s="14"/>
      <c r="Q35" s="14" t="s">
        <v>85</v>
      </c>
      <c r="R35" s="14" t="s">
        <v>85</v>
      </c>
      <c r="S35" s="111" t="s">
        <v>47</v>
      </c>
      <c r="T35" s="111" t="s">
        <v>51</v>
      </c>
      <c r="U35" s="14"/>
      <c r="V35" s="111" t="s">
        <v>52</v>
      </c>
      <c r="W35" s="111" t="s">
        <v>146</v>
      </c>
      <c r="X35" s="111" t="s">
        <v>47</v>
      </c>
      <c r="Y35" s="111" t="s">
        <v>54</v>
      </c>
      <c r="Z35" s="111" t="s">
        <v>55</v>
      </c>
      <c r="AA35" s="111" t="s">
        <v>56</v>
      </c>
      <c r="AB35" s="111" t="s">
        <v>77</v>
      </c>
      <c r="AC35" s="111" t="s">
        <v>147</v>
      </c>
      <c r="AD35" s="111" t="s">
        <v>47</v>
      </c>
      <c r="AE35" s="111" t="s">
        <v>47</v>
      </c>
      <c r="AF35" s="14"/>
      <c r="AG35" s="14" t="s">
        <v>85</v>
      </c>
      <c r="AH35" s="14" t="s">
        <v>74</v>
      </c>
      <c r="AI35" s="14" t="s">
        <v>84</v>
      </c>
      <c r="AJ35" s="14"/>
      <c r="AK35" s="14" t="s">
        <v>85</v>
      </c>
      <c r="AL35" s="14" t="s">
        <v>74</v>
      </c>
      <c r="AM35" s="14" t="s">
        <v>84</v>
      </c>
      <c r="AN35" s="14"/>
      <c r="AO35" s="111" t="s">
        <v>85</v>
      </c>
      <c r="AP35" s="111" t="s">
        <v>60</v>
      </c>
      <c r="AQ35" s="14">
        <v>0</v>
      </c>
      <c r="AR35" s="14">
        <v>0</v>
      </c>
      <c r="AS35" s="19"/>
    </row>
    <row r="36" spans="1:45">
      <c r="A36" s="117" t="s">
        <v>433</v>
      </c>
      <c r="B36" s="102" t="s">
        <v>148</v>
      </c>
      <c r="C36" s="110" t="s">
        <v>148</v>
      </c>
      <c r="D36" s="110" t="s">
        <v>77</v>
      </c>
      <c r="E36" s="110" t="s">
        <v>78</v>
      </c>
      <c r="F36" s="110" t="s">
        <v>79</v>
      </c>
      <c r="G36" s="110" t="s">
        <v>79</v>
      </c>
      <c r="H36" s="110" t="s">
        <v>47</v>
      </c>
      <c r="I36" s="110" t="s">
        <v>47</v>
      </c>
      <c r="J36" s="13">
        <v>0</v>
      </c>
      <c r="K36" s="13">
        <v>0</v>
      </c>
      <c r="L36" s="110" t="s">
        <v>48</v>
      </c>
      <c r="M36" s="110" t="s">
        <v>69</v>
      </c>
      <c r="N36" s="110" t="s">
        <v>48</v>
      </c>
      <c r="O36" s="13" t="s">
        <v>85</v>
      </c>
      <c r="P36" s="13"/>
      <c r="Q36" s="13" t="s">
        <v>85</v>
      </c>
      <c r="R36" s="13" t="s">
        <v>85</v>
      </c>
      <c r="S36" s="110" t="s">
        <v>47</v>
      </c>
      <c r="T36" s="110" t="s">
        <v>51</v>
      </c>
      <c r="U36" s="13"/>
      <c r="V36" s="110" t="s">
        <v>52</v>
      </c>
      <c r="W36" s="110" t="s">
        <v>134</v>
      </c>
      <c r="X36" s="110" t="s">
        <v>47</v>
      </c>
      <c r="Y36" s="110" t="s">
        <v>54</v>
      </c>
      <c r="Z36" s="110" t="s">
        <v>55</v>
      </c>
      <c r="AA36" s="110" t="s">
        <v>56</v>
      </c>
      <c r="AB36" s="110" t="s">
        <v>77</v>
      </c>
      <c r="AC36" s="110" t="s">
        <v>135</v>
      </c>
      <c r="AD36" s="110" t="s">
        <v>47</v>
      </c>
      <c r="AE36" s="110" t="s">
        <v>47</v>
      </c>
      <c r="AF36" s="13"/>
      <c r="AG36" s="13" t="s">
        <v>85</v>
      </c>
      <c r="AH36" s="13" t="s">
        <v>74</v>
      </c>
      <c r="AI36" s="13" t="s">
        <v>84</v>
      </c>
      <c r="AJ36" s="13"/>
      <c r="AK36" s="13" t="s">
        <v>85</v>
      </c>
      <c r="AL36" s="13" t="s">
        <v>74</v>
      </c>
      <c r="AM36" s="13" t="s">
        <v>84</v>
      </c>
      <c r="AN36" s="13"/>
      <c r="AO36" s="110" t="s">
        <v>85</v>
      </c>
      <c r="AP36" s="110" t="s">
        <v>60</v>
      </c>
      <c r="AQ36" s="13">
        <v>0</v>
      </c>
      <c r="AR36" s="13">
        <v>0</v>
      </c>
      <c r="AS36" s="18"/>
    </row>
    <row r="37" spans="1:45">
      <c r="A37" s="117" t="s">
        <v>149</v>
      </c>
      <c r="B37" s="103" t="s">
        <v>149</v>
      </c>
      <c r="C37" s="111" t="s">
        <v>381</v>
      </c>
      <c r="D37" s="111" t="s">
        <v>44</v>
      </c>
      <c r="E37" s="111" t="s">
        <v>44</v>
      </c>
      <c r="F37" s="111" t="s">
        <v>45</v>
      </c>
      <c r="G37" s="111" t="s">
        <v>62</v>
      </c>
      <c r="H37" s="111" t="s">
        <v>47</v>
      </c>
      <c r="I37" s="111" t="s">
        <v>47</v>
      </c>
      <c r="J37" s="14">
        <v>25</v>
      </c>
      <c r="K37" s="14">
        <v>0</v>
      </c>
      <c r="L37" s="111" t="s">
        <v>48</v>
      </c>
      <c r="M37" s="111" t="s">
        <v>48</v>
      </c>
      <c r="N37" s="111" t="s">
        <v>48</v>
      </c>
      <c r="O37" s="14" t="s">
        <v>367</v>
      </c>
      <c r="P37" s="14"/>
      <c r="Q37" s="14" t="s">
        <v>57</v>
      </c>
      <c r="R37" s="14" t="s">
        <v>57</v>
      </c>
      <c r="S37" s="111" t="s">
        <v>47</v>
      </c>
      <c r="T37" s="111" t="s">
        <v>51</v>
      </c>
      <c r="U37" s="14"/>
      <c r="V37" s="111" t="s">
        <v>52</v>
      </c>
      <c r="W37" s="111" t="s">
        <v>53</v>
      </c>
      <c r="X37" s="111" t="s">
        <v>47</v>
      </c>
      <c r="Y37" s="111" t="s">
        <v>54</v>
      </c>
      <c r="Z37" s="111" t="s">
        <v>55</v>
      </c>
      <c r="AA37" s="111" t="s">
        <v>56</v>
      </c>
      <c r="AB37" s="111" t="s">
        <v>47</v>
      </c>
      <c r="AC37" s="111" t="s">
        <v>47</v>
      </c>
      <c r="AD37" s="111" t="s">
        <v>47</v>
      </c>
      <c r="AE37" s="111" t="s">
        <v>47</v>
      </c>
      <c r="AF37" s="14"/>
      <c r="AG37" s="14" t="s">
        <v>150</v>
      </c>
      <c r="AH37" s="14" t="s">
        <v>58</v>
      </c>
      <c r="AI37" s="14" t="s">
        <v>59</v>
      </c>
      <c r="AJ37" s="14"/>
      <c r="AK37" s="14" t="s">
        <v>150</v>
      </c>
      <c r="AL37" s="14" t="s">
        <v>58</v>
      </c>
      <c r="AM37" s="14" t="s">
        <v>59</v>
      </c>
      <c r="AN37" s="14"/>
      <c r="AO37" s="111" t="s">
        <v>57</v>
      </c>
      <c r="AP37" s="111" t="s">
        <v>60</v>
      </c>
      <c r="AQ37" s="14">
        <v>40</v>
      </c>
      <c r="AR37" s="14">
        <v>1.6487499999999999</v>
      </c>
      <c r="AS37" s="19"/>
    </row>
    <row r="38" spans="1:45">
      <c r="A38" s="117" t="s">
        <v>151</v>
      </c>
      <c r="B38" s="102" t="s">
        <v>151</v>
      </c>
      <c r="C38" s="110" t="s">
        <v>382</v>
      </c>
      <c r="D38" s="110" t="s">
        <v>44</v>
      </c>
      <c r="E38" s="110" t="s">
        <v>44</v>
      </c>
      <c r="F38" s="110" t="s">
        <v>45</v>
      </c>
      <c r="G38" s="110" t="s">
        <v>62</v>
      </c>
      <c r="H38" s="110" t="s">
        <v>47</v>
      </c>
      <c r="I38" s="110" t="s">
        <v>47</v>
      </c>
      <c r="J38" s="13">
        <v>25</v>
      </c>
      <c r="K38" s="13">
        <v>0</v>
      </c>
      <c r="L38" s="110" t="s">
        <v>48</v>
      </c>
      <c r="M38" s="110" t="s">
        <v>48</v>
      </c>
      <c r="N38" s="110" t="s">
        <v>48</v>
      </c>
      <c r="O38" s="13" t="s">
        <v>367</v>
      </c>
      <c r="P38" s="13"/>
      <c r="Q38" s="13" t="s">
        <v>57</v>
      </c>
      <c r="R38" s="13" t="s">
        <v>57</v>
      </c>
      <c r="S38" s="110" t="s">
        <v>47</v>
      </c>
      <c r="T38" s="110" t="s">
        <v>51</v>
      </c>
      <c r="U38" s="13"/>
      <c r="V38" s="110" t="s">
        <v>52</v>
      </c>
      <c r="W38" s="110" t="s">
        <v>53</v>
      </c>
      <c r="X38" s="110" t="s">
        <v>47</v>
      </c>
      <c r="Y38" s="110" t="s">
        <v>54</v>
      </c>
      <c r="Z38" s="110" t="s">
        <v>55</v>
      </c>
      <c r="AA38" s="110" t="s">
        <v>56</v>
      </c>
      <c r="AB38" s="110" t="s">
        <v>47</v>
      </c>
      <c r="AC38" s="110" t="s">
        <v>47</v>
      </c>
      <c r="AD38" s="110" t="s">
        <v>47</v>
      </c>
      <c r="AE38" s="110" t="s">
        <v>47</v>
      </c>
      <c r="AF38" s="13"/>
      <c r="AG38" s="13" t="s">
        <v>57</v>
      </c>
      <c r="AH38" s="13" t="s">
        <v>58</v>
      </c>
      <c r="AI38" s="13" t="s">
        <v>59</v>
      </c>
      <c r="AJ38" s="13"/>
      <c r="AK38" s="13" t="s">
        <v>57</v>
      </c>
      <c r="AL38" s="13" t="s">
        <v>58</v>
      </c>
      <c r="AM38" s="13" t="s">
        <v>59</v>
      </c>
      <c r="AN38" s="13"/>
      <c r="AO38" s="110" t="s">
        <v>57</v>
      </c>
      <c r="AP38" s="110" t="s">
        <v>60</v>
      </c>
      <c r="AQ38" s="13">
        <v>42</v>
      </c>
      <c r="AR38" s="13">
        <v>0.34210000000000002</v>
      </c>
      <c r="AS38" s="18"/>
    </row>
    <row r="39" spans="1:45">
      <c r="A39" s="117" t="s">
        <v>152</v>
      </c>
      <c r="B39" s="103" t="s">
        <v>152</v>
      </c>
      <c r="C39" s="111" t="s">
        <v>383</v>
      </c>
      <c r="D39" s="111" t="s">
        <v>44</v>
      </c>
      <c r="E39" s="111" t="s">
        <v>44</v>
      </c>
      <c r="F39" s="111" t="s">
        <v>45</v>
      </c>
      <c r="G39" s="111" t="s">
        <v>62</v>
      </c>
      <c r="H39" s="111" t="s">
        <v>47</v>
      </c>
      <c r="I39" s="111" t="s">
        <v>47</v>
      </c>
      <c r="J39" s="14">
        <v>25</v>
      </c>
      <c r="K39" s="14">
        <v>0</v>
      </c>
      <c r="L39" s="111" t="s">
        <v>48</v>
      </c>
      <c r="M39" s="111" t="s">
        <v>48</v>
      </c>
      <c r="N39" s="111" t="s">
        <v>48</v>
      </c>
      <c r="O39" s="14" t="s">
        <v>367</v>
      </c>
      <c r="P39" s="14"/>
      <c r="Q39" s="14" t="s">
        <v>57</v>
      </c>
      <c r="R39" s="14" t="s">
        <v>57</v>
      </c>
      <c r="S39" s="111" t="s">
        <v>47</v>
      </c>
      <c r="T39" s="111" t="s">
        <v>51</v>
      </c>
      <c r="U39" s="14"/>
      <c r="V39" s="111" t="s">
        <v>52</v>
      </c>
      <c r="W39" s="111" t="s">
        <v>53</v>
      </c>
      <c r="X39" s="111" t="s">
        <v>47</v>
      </c>
      <c r="Y39" s="111" t="s">
        <v>54</v>
      </c>
      <c r="Z39" s="111" t="s">
        <v>55</v>
      </c>
      <c r="AA39" s="111" t="s">
        <v>56</v>
      </c>
      <c r="AB39" s="111" t="s">
        <v>47</v>
      </c>
      <c r="AC39" s="111" t="s">
        <v>47</v>
      </c>
      <c r="AD39" s="111" t="s">
        <v>47</v>
      </c>
      <c r="AE39" s="111" t="s">
        <v>47</v>
      </c>
      <c r="AF39" s="14"/>
      <c r="AG39" s="14" t="s">
        <v>57</v>
      </c>
      <c r="AH39" s="14" t="s">
        <v>58</v>
      </c>
      <c r="AI39" s="14" t="s">
        <v>59</v>
      </c>
      <c r="AJ39" s="14"/>
      <c r="AK39" s="14" t="s">
        <v>57</v>
      </c>
      <c r="AL39" s="14" t="s">
        <v>58</v>
      </c>
      <c r="AM39" s="14" t="s">
        <v>59</v>
      </c>
      <c r="AN39" s="14"/>
      <c r="AO39" s="111" t="s">
        <v>57</v>
      </c>
      <c r="AP39" s="111" t="s">
        <v>60</v>
      </c>
      <c r="AQ39" s="14">
        <v>40</v>
      </c>
      <c r="AR39" s="14">
        <v>0.2762</v>
      </c>
      <c r="AS39" s="19"/>
    </row>
    <row r="40" spans="1:45">
      <c r="A40" s="117" t="s">
        <v>153</v>
      </c>
      <c r="B40" s="102" t="s">
        <v>153</v>
      </c>
      <c r="C40" s="110" t="s">
        <v>384</v>
      </c>
      <c r="D40" s="110" t="s">
        <v>44</v>
      </c>
      <c r="E40" s="110" t="s">
        <v>44</v>
      </c>
      <c r="F40" s="110" t="s">
        <v>45</v>
      </c>
      <c r="G40" s="110" t="s">
        <v>62</v>
      </c>
      <c r="H40" s="110" t="s">
        <v>47</v>
      </c>
      <c r="I40" s="110" t="s">
        <v>47</v>
      </c>
      <c r="J40" s="13">
        <v>25</v>
      </c>
      <c r="K40" s="13">
        <v>0</v>
      </c>
      <c r="L40" s="110" t="s">
        <v>48</v>
      </c>
      <c r="M40" s="110" t="s">
        <v>48</v>
      </c>
      <c r="N40" s="110" t="s">
        <v>48</v>
      </c>
      <c r="O40" s="13" t="s">
        <v>367</v>
      </c>
      <c r="P40" s="13"/>
      <c r="Q40" s="13" t="s">
        <v>57</v>
      </c>
      <c r="R40" s="13" t="s">
        <v>57</v>
      </c>
      <c r="S40" s="110" t="s">
        <v>47</v>
      </c>
      <c r="T40" s="110" t="s">
        <v>51</v>
      </c>
      <c r="U40" s="13"/>
      <c r="V40" s="110" t="s">
        <v>52</v>
      </c>
      <c r="W40" s="110" t="s">
        <v>53</v>
      </c>
      <c r="X40" s="110" t="s">
        <v>47</v>
      </c>
      <c r="Y40" s="110" t="s">
        <v>54</v>
      </c>
      <c r="Z40" s="110" t="s">
        <v>55</v>
      </c>
      <c r="AA40" s="110" t="s">
        <v>56</v>
      </c>
      <c r="AB40" s="110" t="s">
        <v>47</v>
      </c>
      <c r="AC40" s="110" t="s">
        <v>47</v>
      </c>
      <c r="AD40" s="110" t="s">
        <v>47</v>
      </c>
      <c r="AE40" s="110" t="s">
        <v>47</v>
      </c>
      <c r="AF40" s="13"/>
      <c r="AG40" s="13" t="s">
        <v>57</v>
      </c>
      <c r="AH40" s="13" t="s">
        <v>58</v>
      </c>
      <c r="AI40" s="13" t="s">
        <v>59</v>
      </c>
      <c r="AJ40" s="13"/>
      <c r="AK40" s="13" t="s">
        <v>57</v>
      </c>
      <c r="AL40" s="13" t="s">
        <v>58</v>
      </c>
      <c r="AM40" s="13" t="s">
        <v>59</v>
      </c>
      <c r="AN40" s="13"/>
      <c r="AO40" s="110" t="s">
        <v>57</v>
      </c>
      <c r="AP40" s="110" t="s">
        <v>60</v>
      </c>
      <c r="AQ40" s="13">
        <v>41</v>
      </c>
      <c r="AR40" s="13">
        <v>0.34210000000000002</v>
      </c>
      <c r="AS40" s="18"/>
    </row>
    <row r="41" spans="1:45">
      <c r="A41" s="117" t="s">
        <v>154</v>
      </c>
      <c r="B41" s="103" t="s">
        <v>154</v>
      </c>
      <c r="C41" s="111" t="s">
        <v>385</v>
      </c>
      <c r="D41" s="111" t="s">
        <v>44</v>
      </c>
      <c r="E41" s="111" t="s">
        <v>44</v>
      </c>
      <c r="F41" s="111" t="s">
        <v>45</v>
      </c>
      <c r="G41" s="111" t="s">
        <v>62</v>
      </c>
      <c r="H41" s="111" t="s">
        <v>47</v>
      </c>
      <c r="I41" s="111" t="s">
        <v>47</v>
      </c>
      <c r="J41" s="14">
        <v>25</v>
      </c>
      <c r="K41" s="14">
        <v>0</v>
      </c>
      <c r="L41" s="111" t="s">
        <v>48</v>
      </c>
      <c r="M41" s="111" t="s">
        <v>48</v>
      </c>
      <c r="N41" s="111" t="s">
        <v>48</v>
      </c>
      <c r="O41" s="14" t="s">
        <v>367</v>
      </c>
      <c r="P41" s="14"/>
      <c r="Q41" s="14" t="s">
        <v>57</v>
      </c>
      <c r="R41" s="14" t="s">
        <v>57</v>
      </c>
      <c r="S41" s="111" t="s">
        <v>47</v>
      </c>
      <c r="T41" s="111" t="s">
        <v>51</v>
      </c>
      <c r="U41" s="14"/>
      <c r="V41" s="111" t="s">
        <v>52</v>
      </c>
      <c r="W41" s="111" t="s">
        <v>53</v>
      </c>
      <c r="X41" s="111" t="s">
        <v>47</v>
      </c>
      <c r="Y41" s="111" t="s">
        <v>54</v>
      </c>
      <c r="Z41" s="111" t="s">
        <v>55</v>
      </c>
      <c r="AA41" s="111" t="s">
        <v>56</v>
      </c>
      <c r="AB41" s="111" t="s">
        <v>47</v>
      </c>
      <c r="AC41" s="111" t="s">
        <v>47</v>
      </c>
      <c r="AD41" s="111" t="s">
        <v>47</v>
      </c>
      <c r="AE41" s="111" t="s">
        <v>47</v>
      </c>
      <c r="AF41" s="14"/>
      <c r="AG41" s="14" t="s">
        <v>57</v>
      </c>
      <c r="AH41" s="14" t="s">
        <v>58</v>
      </c>
      <c r="AI41" s="14" t="s">
        <v>59</v>
      </c>
      <c r="AJ41" s="14"/>
      <c r="AK41" s="14" t="s">
        <v>57</v>
      </c>
      <c r="AL41" s="14" t="s">
        <v>58</v>
      </c>
      <c r="AM41" s="14" t="s">
        <v>59</v>
      </c>
      <c r="AN41" s="14"/>
      <c r="AO41" s="111" t="s">
        <v>57</v>
      </c>
      <c r="AP41" s="111" t="s">
        <v>60</v>
      </c>
      <c r="AQ41" s="14">
        <v>42</v>
      </c>
      <c r="AR41" s="14">
        <v>0.2762</v>
      </c>
      <c r="AS41" s="19"/>
    </row>
    <row r="42" spans="1:45">
      <c r="A42" s="117" t="s">
        <v>155</v>
      </c>
      <c r="B42" s="102" t="s">
        <v>155</v>
      </c>
      <c r="C42" s="110" t="s">
        <v>386</v>
      </c>
      <c r="D42" s="110" t="s">
        <v>44</v>
      </c>
      <c r="E42" s="110" t="s">
        <v>44</v>
      </c>
      <c r="F42" s="110" t="s">
        <v>45</v>
      </c>
      <c r="G42" s="110" t="s">
        <v>62</v>
      </c>
      <c r="H42" s="110" t="s">
        <v>47</v>
      </c>
      <c r="I42" s="110" t="s">
        <v>47</v>
      </c>
      <c r="J42" s="13">
        <v>25</v>
      </c>
      <c r="K42" s="13">
        <v>0</v>
      </c>
      <c r="L42" s="110" t="s">
        <v>48</v>
      </c>
      <c r="M42" s="110" t="s">
        <v>48</v>
      </c>
      <c r="N42" s="110" t="s">
        <v>48</v>
      </c>
      <c r="O42" s="13" t="s">
        <v>367</v>
      </c>
      <c r="P42" s="13"/>
      <c r="Q42" s="13" t="s">
        <v>57</v>
      </c>
      <c r="R42" s="13" t="s">
        <v>57</v>
      </c>
      <c r="S42" s="110" t="s">
        <v>47</v>
      </c>
      <c r="T42" s="110" t="s">
        <v>51</v>
      </c>
      <c r="U42" s="13"/>
      <c r="V42" s="110" t="s">
        <v>52</v>
      </c>
      <c r="W42" s="110" t="s">
        <v>53</v>
      </c>
      <c r="X42" s="110" t="s">
        <v>47</v>
      </c>
      <c r="Y42" s="110" t="s">
        <v>54</v>
      </c>
      <c r="Z42" s="110" t="s">
        <v>55</v>
      </c>
      <c r="AA42" s="110" t="s">
        <v>56</v>
      </c>
      <c r="AB42" s="110" t="s">
        <v>47</v>
      </c>
      <c r="AC42" s="110" t="s">
        <v>47</v>
      </c>
      <c r="AD42" s="110" t="s">
        <v>47</v>
      </c>
      <c r="AE42" s="110" t="s">
        <v>47</v>
      </c>
      <c r="AF42" s="13"/>
      <c r="AG42" s="13" t="s">
        <v>150</v>
      </c>
      <c r="AH42" s="13" t="s">
        <v>58</v>
      </c>
      <c r="AI42" s="13" t="s">
        <v>59</v>
      </c>
      <c r="AJ42" s="13"/>
      <c r="AK42" s="13" t="s">
        <v>150</v>
      </c>
      <c r="AL42" s="13" t="s">
        <v>58</v>
      </c>
      <c r="AM42" s="13" t="s">
        <v>59</v>
      </c>
      <c r="AN42" s="13"/>
      <c r="AO42" s="110" t="s">
        <v>57</v>
      </c>
      <c r="AP42" s="110" t="s">
        <v>60</v>
      </c>
      <c r="AQ42" s="13">
        <v>10138</v>
      </c>
      <c r="AR42" s="13">
        <v>31.860849999999999</v>
      </c>
      <c r="AS42" s="18"/>
    </row>
    <row r="43" spans="1:45">
      <c r="A43" s="117" t="s">
        <v>156</v>
      </c>
      <c r="B43" s="103" t="s">
        <v>156</v>
      </c>
      <c r="C43" s="111" t="s">
        <v>387</v>
      </c>
      <c r="D43" s="111" t="s">
        <v>44</v>
      </c>
      <c r="E43" s="111" t="s">
        <v>44</v>
      </c>
      <c r="F43" s="111" t="s">
        <v>45</v>
      </c>
      <c r="G43" s="111" t="s">
        <v>62</v>
      </c>
      <c r="H43" s="111" t="s">
        <v>47</v>
      </c>
      <c r="I43" s="111" t="s">
        <v>47</v>
      </c>
      <c r="J43" s="14">
        <v>25</v>
      </c>
      <c r="K43" s="14">
        <v>0</v>
      </c>
      <c r="L43" s="111" t="s">
        <v>48</v>
      </c>
      <c r="M43" s="111" t="s">
        <v>48</v>
      </c>
      <c r="N43" s="111" t="s">
        <v>48</v>
      </c>
      <c r="O43" s="14" t="s">
        <v>367</v>
      </c>
      <c r="P43" s="14"/>
      <c r="Q43" s="14" t="s">
        <v>57</v>
      </c>
      <c r="R43" s="14" t="s">
        <v>57</v>
      </c>
      <c r="S43" s="111" t="s">
        <v>47</v>
      </c>
      <c r="T43" s="111" t="s">
        <v>51</v>
      </c>
      <c r="U43" s="14"/>
      <c r="V43" s="111" t="s">
        <v>52</v>
      </c>
      <c r="W43" s="111" t="s">
        <v>53</v>
      </c>
      <c r="X43" s="111" t="s">
        <v>47</v>
      </c>
      <c r="Y43" s="111" t="s">
        <v>54</v>
      </c>
      <c r="Z43" s="111" t="s">
        <v>55</v>
      </c>
      <c r="AA43" s="111" t="s">
        <v>56</v>
      </c>
      <c r="AB43" s="111" t="s">
        <v>47</v>
      </c>
      <c r="AC43" s="111" t="s">
        <v>47</v>
      </c>
      <c r="AD43" s="111" t="s">
        <v>47</v>
      </c>
      <c r="AE43" s="111" t="s">
        <v>47</v>
      </c>
      <c r="AF43" s="14"/>
      <c r="AG43" s="14" t="s">
        <v>57</v>
      </c>
      <c r="AH43" s="14" t="s">
        <v>58</v>
      </c>
      <c r="AI43" s="14" t="s">
        <v>59</v>
      </c>
      <c r="AJ43" s="14"/>
      <c r="AK43" s="14" t="s">
        <v>57</v>
      </c>
      <c r="AL43" s="14" t="s">
        <v>58</v>
      </c>
      <c r="AM43" s="14" t="s">
        <v>59</v>
      </c>
      <c r="AN43" s="14"/>
      <c r="AO43" s="111" t="s">
        <v>57</v>
      </c>
      <c r="AP43" s="111" t="s">
        <v>60</v>
      </c>
      <c r="AQ43" s="14">
        <v>41</v>
      </c>
      <c r="AR43" s="14">
        <v>0.27610000000000001</v>
      </c>
      <c r="AS43" s="19"/>
    </row>
    <row r="44" spans="1:45">
      <c r="A44" s="117" t="s">
        <v>157</v>
      </c>
      <c r="B44" s="102" t="s">
        <v>157</v>
      </c>
      <c r="C44" s="110" t="s">
        <v>388</v>
      </c>
      <c r="D44" s="110" t="s">
        <v>44</v>
      </c>
      <c r="E44" s="110" t="s">
        <v>44</v>
      </c>
      <c r="F44" s="110" t="s">
        <v>45</v>
      </c>
      <c r="G44" s="110" t="s">
        <v>62</v>
      </c>
      <c r="H44" s="110" t="s">
        <v>47</v>
      </c>
      <c r="I44" s="110" t="s">
        <v>47</v>
      </c>
      <c r="J44" s="13">
        <v>25</v>
      </c>
      <c r="K44" s="13">
        <v>0</v>
      </c>
      <c r="L44" s="110" t="s">
        <v>48</v>
      </c>
      <c r="M44" s="110" t="s">
        <v>48</v>
      </c>
      <c r="N44" s="110" t="s">
        <v>48</v>
      </c>
      <c r="O44" s="13" t="s">
        <v>367</v>
      </c>
      <c r="P44" s="13"/>
      <c r="Q44" s="13" t="s">
        <v>57</v>
      </c>
      <c r="R44" s="13" t="s">
        <v>57</v>
      </c>
      <c r="S44" s="110" t="s">
        <v>47</v>
      </c>
      <c r="T44" s="110" t="s">
        <v>51</v>
      </c>
      <c r="U44" s="13"/>
      <c r="V44" s="110" t="s">
        <v>52</v>
      </c>
      <c r="W44" s="110" t="s">
        <v>53</v>
      </c>
      <c r="X44" s="110" t="s">
        <v>47</v>
      </c>
      <c r="Y44" s="110" t="s">
        <v>54</v>
      </c>
      <c r="Z44" s="110" t="s">
        <v>55</v>
      </c>
      <c r="AA44" s="110" t="s">
        <v>56</v>
      </c>
      <c r="AB44" s="110" t="s">
        <v>47</v>
      </c>
      <c r="AC44" s="110" t="s">
        <v>47</v>
      </c>
      <c r="AD44" s="110" t="s">
        <v>47</v>
      </c>
      <c r="AE44" s="110" t="s">
        <v>47</v>
      </c>
      <c r="AF44" s="13"/>
      <c r="AG44" s="13" t="s">
        <v>57</v>
      </c>
      <c r="AH44" s="13" t="s">
        <v>58</v>
      </c>
      <c r="AI44" s="13" t="s">
        <v>59</v>
      </c>
      <c r="AJ44" s="13"/>
      <c r="AK44" s="13" t="s">
        <v>57</v>
      </c>
      <c r="AL44" s="13" t="s">
        <v>58</v>
      </c>
      <c r="AM44" s="13" t="s">
        <v>59</v>
      </c>
      <c r="AN44" s="13"/>
      <c r="AO44" s="110" t="s">
        <v>57</v>
      </c>
      <c r="AP44" s="110" t="s">
        <v>60</v>
      </c>
      <c r="AQ44" s="13">
        <v>39</v>
      </c>
      <c r="AR44" s="13">
        <v>0.31309999999999999</v>
      </c>
      <c r="AS44" s="18"/>
    </row>
    <row r="45" spans="1:45">
      <c r="A45" s="117" t="s">
        <v>158</v>
      </c>
      <c r="B45" s="103" t="s">
        <v>158</v>
      </c>
      <c r="C45" s="111" t="s">
        <v>389</v>
      </c>
      <c r="D45" s="111" t="s">
        <v>44</v>
      </c>
      <c r="E45" s="111" t="s">
        <v>44</v>
      </c>
      <c r="F45" s="111" t="s">
        <v>45</v>
      </c>
      <c r="G45" s="111" t="s">
        <v>62</v>
      </c>
      <c r="H45" s="111" t="s">
        <v>47</v>
      </c>
      <c r="I45" s="111" t="s">
        <v>47</v>
      </c>
      <c r="J45" s="14">
        <v>25</v>
      </c>
      <c r="K45" s="14">
        <v>0</v>
      </c>
      <c r="L45" s="111" t="s">
        <v>48</v>
      </c>
      <c r="M45" s="111" t="s">
        <v>48</v>
      </c>
      <c r="N45" s="111" t="s">
        <v>48</v>
      </c>
      <c r="O45" s="14" t="s">
        <v>367</v>
      </c>
      <c r="P45" s="14"/>
      <c r="Q45" s="14" t="s">
        <v>57</v>
      </c>
      <c r="R45" s="14" t="s">
        <v>57</v>
      </c>
      <c r="S45" s="111" t="s">
        <v>47</v>
      </c>
      <c r="T45" s="111" t="s">
        <v>51</v>
      </c>
      <c r="U45" s="14"/>
      <c r="V45" s="111" t="s">
        <v>52</v>
      </c>
      <c r="W45" s="111" t="s">
        <v>53</v>
      </c>
      <c r="X45" s="111" t="s">
        <v>47</v>
      </c>
      <c r="Y45" s="111" t="s">
        <v>54</v>
      </c>
      <c r="Z45" s="111" t="s">
        <v>55</v>
      </c>
      <c r="AA45" s="111" t="s">
        <v>56</v>
      </c>
      <c r="AB45" s="111" t="s">
        <v>47</v>
      </c>
      <c r="AC45" s="111" t="s">
        <v>47</v>
      </c>
      <c r="AD45" s="111" t="s">
        <v>47</v>
      </c>
      <c r="AE45" s="111" t="s">
        <v>47</v>
      </c>
      <c r="AF45" s="14"/>
      <c r="AG45" s="14" t="s">
        <v>57</v>
      </c>
      <c r="AH45" s="14" t="s">
        <v>58</v>
      </c>
      <c r="AI45" s="14" t="s">
        <v>59</v>
      </c>
      <c r="AJ45" s="14"/>
      <c r="AK45" s="14" t="s">
        <v>57</v>
      </c>
      <c r="AL45" s="14" t="s">
        <v>58</v>
      </c>
      <c r="AM45" s="14" t="s">
        <v>59</v>
      </c>
      <c r="AN45" s="14"/>
      <c r="AO45" s="111" t="s">
        <v>57</v>
      </c>
      <c r="AP45" s="111" t="s">
        <v>60</v>
      </c>
      <c r="AQ45" s="14">
        <v>42</v>
      </c>
      <c r="AR45" s="14">
        <v>0.50629999999999997</v>
      </c>
      <c r="AS45" s="19"/>
    </row>
    <row r="46" spans="1:45">
      <c r="A46" s="117" t="s">
        <v>159</v>
      </c>
      <c r="B46" s="102" t="s">
        <v>159</v>
      </c>
      <c r="C46" s="110" t="s">
        <v>390</v>
      </c>
      <c r="D46" s="110" t="s">
        <v>44</v>
      </c>
      <c r="E46" s="110" t="s">
        <v>44</v>
      </c>
      <c r="F46" s="110" t="s">
        <v>45</v>
      </c>
      <c r="G46" s="110" t="s">
        <v>62</v>
      </c>
      <c r="H46" s="110" t="s">
        <v>47</v>
      </c>
      <c r="I46" s="110" t="s">
        <v>47</v>
      </c>
      <c r="J46" s="13">
        <v>25</v>
      </c>
      <c r="K46" s="13">
        <v>0</v>
      </c>
      <c r="L46" s="110" t="s">
        <v>48</v>
      </c>
      <c r="M46" s="110" t="s">
        <v>48</v>
      </c>
      <c r="N46" s="110" t="s">
        <v>48</v>
      </c>
      <c r="O46" s="13" t="s">
        <v>367</v>
      </c>
      <c r="P46" s="13"/>
      <c r="Q46" s="13" t="s">
        <v>57</v>
      </c>
      <c r="R46" s="13" t="s">
        <v>57</v>
      </c>
      <c r="S46" s="110" t="s">
        <v>47</v>
      </c>
      <c r="T46" s="110" t="s">
        <v>51</v>
      </c>
      <c r="U46" s="13"/>
      <c r="V46" s="110" t="s">
        <v>52</v>
      </c>
      <c r="W46" s="110" t="s">
        <v>53</v>
      </c>
      <c r="X46" s="110" t="s">
        <v>47</v>
      </c>
      <c r="Y46" s="110" t="s">
        <v>54</v>
      </c>
      <c r="Z46" s="110" t="s">
        <v>55</v>
      </c>
      <c r="AA46" s="110" t="s">
        <v>56</v>
      </c>
      <c r="AB46" s="110" t="s">
        <v>47</v>
      </c>
      <c r="AC46" s="110" t="s">
        <v>47</v>
      </c>
      <c r="AD46" s="110" t="s">
        <v>47</v>
      </c>
      <c r="AE46" s="110" t="s">
        <v>47</v>
      </c>
      <c r="AF46" s="13"/>
      <c r="AG46" s="13" t="s">
        <v>57</v>
      </c>
      <c r="AH46" s="13" t="s">
        <v>58</v>
      </c>
      <c r="AI46" s="13" t="s">
        <v>59</v>
      </c>
      <c r="AJ46" s="13"/>
      <c r="AK46" s="13" t="s">
        <v>57</v>
      </c>
      <c r="AL46" s="13" t="s">
        <v>58</v>
      </c>
      <c r="AM46" s="13" t="s">
        <v>59</v>
      </c>
      <c r="AN46" s="13"/>
      <c r="AO46" s="110" t="s">
        <v>57</v>
      </c>
      <c r="AP46" s="110" t="s">
        <v>60</v>
      </c>
      <c r="AQ46" s="13">
        <v>43</v>
      </c>
      <c r="AR46" s="13">
        <v>0.6</v>
      </c>
      <c r="AS46" s="18"/>
    </row>
    <row r="47" spans="1:45">
      <c r="A47" s="117" t="s">
        <v>160</v>
      </c>
      <c r="B47" s="103" t="s">
        <v>160</v>
      </c>
      <c r="C47" s="111" t="s">
        <v>391</v>
      </c>
      <c r="D47" s="111" t="s">
        <v>44</v>
      </c>
      <c r="E47" s="111" t="s">
        <v>44</v>
      </c>
      <c r="F47" s="111" t="s">
        <v>45</v>
      </c>
      <c r="G47" s="111" t="s">
        <v>62</v>
      </c>
      <c r="H47" s="111" t="s">
        <v>47</v>
      </c>
      <c r="I47" s="111" t="s">
        <v>47</v>
      </c>
      <c r="J47" s="14">
        <v>25</v>
      </c>
      <c r="K47" s="14">
        <v>0</v>
      </c>
      <c r="L47" s="111" t="s">
        <v>48</v>
      </c>
      <c r="M47" s="111" t="s">
        <v>48</v>
      </c>
      <c r="N47" s="111" t="s">
        <v>48</v>
      </c>
      <c r="O47" s="14" t="s">
        <v>367</v>
      </c>
      <c r="P47" s="14"/>
      <c r="Q47" s="14" t="s">
        <v>57</v>
      </c>
      <c r="R47" s="14" t="s">
        <v>57</v>
      </c>
      <c r="S47" s="111" t="s">
        <v>47</v>
      </c>
      <c r="T47" s="111" t="s">
        <v>51</v>
      </c>
      <c r="U47" s="14"/>
      <c r="V47" s="111" t="s">
        <v>52</v>
      </c>
      <c r="W47" s="111" t="s">
        <v>53</v>
      </c>
      <c r="X47" s="111" t="s">
        <v>47</v>
      </c>
      <c r="Y47" s="111" t="s">
        <v>54</v>
      </c>
      <c r="Z47" s="111" t="s">
        <v>55</v>
      </c>
      <c r="AA47" s="111" t="s">
        <v>56</v>
      </c>
      <c r="AB47" s="111" t="s">
        <v>47</v>
      </c>
      <c r="AC47" s="111" t="s">
        <v>47</v>
      </c>
      <c r="AD47" s="111" t="s">
        <v>47</v>
      </c>
      <c r="AE47" s="111" t="s">
        <v>47</v>
      </c>
      <c r="AF47" s="14"/>
      <c r="AG47" s="14" t="s">
        <v>57</v>
      </c>
      <c r="AH47" s="14" t="s">
        <v>58</v>
      </c>
      <c r="AI47" s="14" t="s">
        <v>59</v>
      </c>
      <c r="AJ47" s="14"/>
      <c r="AK47" s="14" t="s">
        <v>57</v>
      </c>
      <c r="AL47" s="14" t="s">
        <v>58</v>
      </c>
      <c r="AM47" s="14" t="s">
        <v>59</v>
      </c>
      <c r="AN47" s="14"/>
      <c r="AO47" s="111" t="s">
        <v>57</v>
      </c>
      <c r="AP47" s="111" t="s">
        <v>60</v>
      </c>
      <c r="AQ47" s="14">
        <v>42</v>
      </c>
      <c r="AR47" s="14">
        <v>0.60109999999999997</v>
      </c>
      <c r="AS47" s="19"/>
    </row>
    <row r="48" spans="1:45">
      <c r="A48" s="117" t="s">
        <v>161</v>
      </c>
      <c r="B48" s="102" t="s">
        <v>161</v>
      </c>
      <c r="C48" s="110" t="s">
        <v>392</v>
      </c>
      <c r="D48" s="110" t="s">
        <v>44</v>
      </c>
      <c r="E48" s="110" t="s">
        <v>44</v>
      </c>
      <c r="F48" s="110" t="s">
        <v>45</v>
      </c>
      <c r="G48" s="110" t="s">
        <v>62</v>
      </c>
      <c r="H48" s="110" t="s">
        <v>47</v>
      </c>
      <c r="I48" s="110" t="s">
        <v>47</v>
      </c>
      <c r="J48" s="13">
        <v>25</v>
      </c>
      <c r="K48" s="13">
        <v>0</v>
      </c>
      <c r="L48" s="110" t="s">
        <v>48</v>
      </c>
      <c r="M48" s="110" t="s">
        <v>48</v>
      </c>
      <c r="N48" s="110" t="s">
        <v>48</v>
      </c>
      <c r="O48" s="13" t="s">
        <v>367</v>
      </c>
      <c r="P48" s="13"/>
      <c r="Q48" s="13" t="s">
        <v>57</v>
      </c>
      <c r="R48" s="13" t="s">
        <v>57</v>
      </c>
      <c r="S48" s="110" t="s">
        <v>47</v>
      </c>
      <c r="T48" s="110" t="s">
        <v>51</v>
      </c>
      <c r="U48" s="13"/>
      <c r="V48" s="110" t="s">
        <v>52</v>
      </c>
      <c r="W48" s="110" t="s">
        <v>53</v>
      </c>
      <c r="X48" s="110" t="s">
        <v>47</v>
      </c>
      <c r="Y48" s="110" t="s">
        <v>54</v>
      </c>
      <c r="Z48" s="110" t="s">
        <v>55</v>
      </c>
      <c r="AA48" s="110" t="s">
        <v>56</v>
      </c>
      <c r="AB48" s="110" t="s">
        <v>47</v>
      </c>
      <c r="AC48" s="110" t="s">
        <v>47</v>
      </c>
      <c r="AD48" s="110" t="s">
        <v>47</v>
      </c>
      <c r="AE48" s="110" t="s">
        <v>47</v>
      </c>
      <c r="AF48" s="13"/>
      <c r="AG48" s="13" t="s">
        <v>57</v>
      </c>
      <c r="AH48" s="13" t="s">
        <v>58</v>
      </c>
      <c r="AI48" s="13" t="s">
        <v>59</v>
      </c>
      <c r="AJ48" s="13"/>
      <c r="AK48" s="13" t="s">
        <v>57</v>
      </c>
      <c r="AL48" s="13" t="s">
        <v>58</v>
      </c>
      <c r="AM48" s="13" t="s">
        <v>59</v>
      </c>
      <c r="AN48" s="13"/>
      <c r="AO48" s="110" t="s">
        <v>57</v>
      </c>
      <c r="AP48" s="110" t="s">
        <v>60</v>
      </c>
      <c r="AQ48" s="13">
        <v>43</v>
      </c>
      <c r="AR48" s="13">
        <v>0.61</v>
      </c>
      <c r="AS48" s="18"/>
    </row>
    <row r="49" spans="1:45">
      <c r="A49" s="117" t="s">
        <v>162</v>
      </c>
      <c r="B49" s="103" t="s">
        <v>162</v>
      </c>
      <c r="C49" s="111" t="s">
        <v>393</v>
      </c>
      <c r="D49" s="111" t="s">
        <v>44</v>
      </c>
      <c r="E49" s="111" t="s">
        <v>44</v>
      </c>
      <c r="F49" s="111" t="s">
        <v>45</v>
      </c>
      <c r="G49" s="111" t="s">
        <v>62</v>
      </c>
      <c r="H49" s="111" t="s">
        <v>47</v>
      </c>
      <c r="I49" s="111" t="s">
        <v>47</v>
      </c>
      <c r="J49" s="14">
        <v>25</v>
      </c>
      <c r="K49" s="14">
        <v>0</v>
      </c>
      <c r="L49" s="111" t="s">
        <v>48</v>
      </c>
      <c r="M49" s="111" t="s">
        <v>48</v>
      </c>
      <c r="N49" s="111" t="s">
        <v>48</v>
      </c>
      <c r="O49" s="14" t="s">
        <v>367</v>
      </c>
      <c r="P49" s="14"/>
      <c r="Q49" s="14" t="s">
        <v>57</v>
      </c>
      <c r="R49" s="14" t="s">
        <v>57</v>
      </c>
      <c r="S49" s="111" t="s">
        <v>47</v>
      </c>
      <c r="T49" s="111" t="s">
        <v>51</v>
      </c>
      <c r="U49" s="14"/>
      <c r="V49" s="111" t="s">
        <v>52</v>
      </c>
      <c r="W49" s="111" t="s">
        <v>53</v>
      </c>
      <c r="X49" s="111" t="s">
        <v>47</v>
      </c>
      <c r="Y49" s="111" t="s">
        <v>54</v>
      </c>
      <c r="Z49" s="111" t="s">
        <v>55</v>
      </c>
      <c r="AA49" s="111" t="s">
        <v>56</v>
      </c>
      <c r="AB49" s="111" t="s">
        <v>47</v>
      </c>
      <c r="AC49" s="111" t="s">
        <v>47</v>
      </c>
      <c r="AD49" s="111" t="s">
        <v>47</v>
      </c>
      <c r="AE49" s="111" t="s">
        <v>47</v>
      </c>
      <c r="AF49" s="14"/>
      <c r="AG49" s="14" t="s">
        <v>57</v>
      </c>
      <c r="AH49" s="14" t="s">
        <v>58</v>
      </c>
      <c r="AI49" s="14" t="s">
        <v>59</v>
      </c>
      <c r="AJ49" s="14"/>
      <c r="AK49" s="14" t="s">
        <v>57</v>
      </c>
      <c r="AL49" s="14" t="s">
        <v>58</v>
      </c>
      <c r="AM49" s="14" t="s">
        <v>59</v>
      </c>
      <c r="AN49" s="14"/>
      <c r="AO49" s="111" t="s">
        <v>57</v>
      </c>
      <c r="AP49" s="111" t="s">
        <v>60</v>
      </c>
      <c r="AQ49" s="14">
        <v>39</v>
      </c>
      <c r="AR49" s="14">
        <v>0.70009999999999994</v>
      </c>
      <c r="AS49" s="19"/>
    </row>
    <row r="50" spans="1:45">
      <c r="A50" s="117" t="s">
        <v>163</v>
      </c>
      <c r="B50" s="102" t="s">
        <v>163</v>
      </c>
      <c r="C50" s="110" t="s">
        <v>394</v>
      </c>
      <c r="D50" s="110" t="s">
        <v>44</v>
      </c>
      <c r="E50" s="110" t="s">
        <v>44</v>
      </c>
      <c r="F50" s="110" t="s">
        <v>45</v>
      </c>
      <c r="G50" s="110" t="s">
        <v>62</v>
      </c>
      <c r="H50" s="110" t="s">
        <v>47</v>
      </c>
      <c r="I50" s="110" t="s">
        <v>47</v>
      </c>
      <c r="J50" s="13">
        <v>20</v>
      </c>
      <c r="K50" s="13">
        <v>0</v>
      </c>
      <c r="L50" s="110" t="s">
        <v>48</v>
      </c>
      <c r="M50" s="110" t="s">
        <v>48</v>
      </c>
      <c r="N50" s="110" t="s">
        <v>48</v>
      </c>
      <c r="O50" s="13" t="s">
        <v>367</v>
      </c>
      <c r="P50" s="13"/>
      <c r="Q50" s="13" t="s">
        <v>57</v>
      </c>
      <c r="R50" s="13" t="s">
        <v>57</v>
      </c>
      <c r="S50" s="110" t="s">
        <v>47</v>
      </c>
      <c r="T50" s="110" t="s">
        <v>51</v>
      </c>
      <c r="U50" s="13"/>
      <c r="V50" s="110" t="s">
        <v>52</v>
      </c>
      <c r="W50" s="110" t="s">
        <v>53</v>
      </c>
      <c r="X50" s="110" t="s">
        <v>47</v>
      </c>
      <c r="Y50" s="110" t="s">
        <v>54</v>
      </c>
      <c r="Z50" s="110" t="s">
        <v>55</v>
      </c>
      <c r="AA50" s="110" t="s">
        <v>56</v>
      </c>
      <c r="AB50" s="110" t="s">
        <v>47</v>
      </c>
      <c r="AC50" s="110" t="s">
        <v>47</v>
      </c>
      <c r="AD50" s="110" t="s">
        <v>47</v>
      </c>
      <c r="AE50" s="110" t="s">
        <v>47</v>
      </c>
      <c r="AF50" s="13"/>
      <c r="AG50" s="13" t="s">
        <v>57</v>
      </c>
      <c r="AH50" s="13" t="s">
        <v>58</v>
      </c>
      <c r="AI50" s="13" t="s">
        <v>59</v>
      </c>
      <c r="AJ50" s="13"/>
      <c r="AK50" s="13" t="s">
        <v>57</v>
      </c>
      <c r="AL50" s="13" t="s">
        <v>58</v>
      </c>
      <c r="AM50" s="13" t="s">
        <v>59</v>
      </c>
      <c r="AN50" s="13"/>
      <c r="AO50" s="110" t="s">
        <v>57</v>
      </c>
      <c r="AP50" s="110" t="s">
        <v>60</v>
      </c>
      <c r="AQ50" s="13">
        <v>50</v>
      </c>
      <c r="AR50" s="13">
        <v>0.29210000000000003</v>
      </c>
      <c r="AS50" s="18"/>
    </row>
    <row r="51" spans="1:45">
      <c r="A51" s="117" t="s">
        <v>164</v>
      </c>
      <c r="B51" s="103" t="s">
        <v>484</v>
      </c>
      <c r="C51" s="111" t="s">
        <v>395</v>
      </c>
      <c r="D51" s="111" t="s">
        <v>66</v>
      </c>
      <c r="E51" s="111" t="s">
        <v>66</v>
      </c>
      <c r="F51" s="111" t="s">
        <v>45</v>
      </c>
      <c r="G51" s="111" t="s">
        <v>67</v>
      </c>
      <c r="H51" s="111" t="s">
        <v>47</v>
      </c>
      <c r="I51" s="111" t="s">
        <v>47</v>
      </c>
      <c r="J51" s="14">
        <v>1</v>
      </c>
      <c r="K51" s="14">
        <v>0</v>
      </c>
      <c r="L51" s="111" t="s">
        <v>371</v>
      </c>
      <c r="M51" s="111" t="s">
        <v>69</v>
      </c>
      <c r="N51" s="111" t="s">
        <v>372</v>
      </c>
      <c r="O51" s="14" t="s">
        <v>373</v>
      </c>
      <c r="P51" s="14">
        <v>25</v>
      </c>
      <c r="Q51" s="14" t="s">
        <v>374</v>
      </c>
      <c r="R51" s="14" t="s">
        <v>374</v>
      </c>
      <c r="S51" s="111" t="s">
        <v>47</v>
      </c>
      <c r="T51" s="111" t="s">
        <v>51</v>
      </c>
      <c r="U51" s="14"/>
      <c r="V51" s="111" t="s">
        <v>52</v>
      </c>
      <c r="W51" s="111" t="s">
        <v>72</v>
      </c>
      <c r="X51" s="111" t="s">
        <v>47</v>
      </c>
      <c r="Y51" s="111" t="s">
        <v>54</v>
      </c>
      <c r="Z51" s="111" t="s">
        <v>55</v>
      </c>
      <c r="AA51" s="111" t="s">
        <v>56</v>
      </c>
      <c r="AB51" s="111" t="s">
        <v>47</v>
      </c>
      <c r="AC51" s="111" t="s">
        <v>47</v>
      </c>
      <c r="AD51" s="111" t="s">
        <v>47</v>
      </c>
      <c r="AE51" s="111" t="s">
        <v>47</v>
      </c>
      <c r="AF51" s="14"/>
      <c r="AG51" s="14" t="s">
        <v>94</v>
      </c>
      <c r="AH51" s="14" t="s">
        <v>74</v>
      </c>
      <c r="AI51" s="14" t="s">
        <v>59</v>
      </c>
      <c r="AJ51" s="14"/>
      <c r="AK51" s="14" t="s">
        <v>94</v>
      </c>
      <c r="AL51" s="14" t="s">
        <v>74</v>
      </c>
      <c r="AM51" s="14" t="s">
        <v>59</v>
      </c>
      <c r="AN51" s="14"/>
      <c r="AO51" s="111" t="s">
        <v>94</v>
      </c>
      <c r="AP51" s="111" t="s">
        <v>60</v>
      </c>
      <c r="AQ51" s="14">
        <v>0</v>
      </c>
      <c r="AR51" s="14">
        <v>2.948</v>
      </c>
      <c r="AS51" s="19"/>
    </row>
    <row r="52" spans="1:45">
      <c r="A52" s="117" t="s">
        <v>166</v>
      </c>
      <c r="B52" s="102" t="s">
        <v>608</v>
      </c>
      <c r="C52" s="110" t="s">
        <v>396</v>
      </c>
      <c r="D52" s="110" t="s">
        <v>66</v>
      </c>
      <c r="E52" s="110" t="s">
        <v>66</v>
      </c>
      <c r="F52" s="110" t="s">
        <v>45</v>
      </c>
      <c r="G52" s="110" t="s">
        <v>67</v>
      </c>
      <c r="H52" s="110" t="s">
        <v>47</v>
      </c>
      <c r="I52" s="110" t="s">
        <v>47</v>
      </c>
      <c r="J52" s="13">
        <v>20</v>
      </c>
      <c r="K52" s="13">
        <v>0</v>
      </c>
      <c r="L52" s="110" t="s">
        <v>371</v>
      </c>
      <c r="M52" s="110" t="s">
        <v>69</v>
      </c>
      <c r="N52" s="110" t="s">
        <v>372</v>
      </c>
      <c r="O52" s="13" t="s">
        <v>367</v>
      </c>
      <c r="P52" s="13"/>
      <c r="Q52" s="13" t="s">
        <v>374</v>
      </c>
      <c r="R52" s="13" t="s">
        <v>374</v>
      </c>
      <c r="S52" s="110" t="s">
        <v>47</v>
      </c>
      <c r="T52" s="110" t="s">
        <v>51</v>
      </c>
      <c r="U52" s="13"/>
      <c r="V52" s="110" t="s">
        <v>52</v>
      </c>
      <c r="W52" s="110" t="s">
        <v>72</v>
      </c>
      <c r="X52" s="110" t="s">
        <v>47</v>
      </c>
      <c r="Y52" s="110" t="s">
        <v>54</v>
      </c>
      <c r="Z52" s="110" t="s">
        <v>55</v>
      </c>
      <c r="AA52" s="110" t="s">
        <v>56</v>
      </c>
      <c r="AB52" s="110" t="s">
        <v>47</v>
      </c>
      <c r="AC52" s="110" t="s">
        <v>47</v>
      </c>
      <c r="AD52" s="110" t="s">
        <v>47</v>
      </c>
      <c r="AE52" s="110" t="s">
        <v>47</v>
      </c>
      <c r="AF52" s="13"/>
      <c r="AG52" s="13" t="s">
        <v>94</v>
      </c>
      <c r="AH52" s="13" t="s">
        <v>74</v>
      </c>
      <c r="AI52" s="13" t="s">
        <v>59</v>
      </c>
      <c r="AJ52" s="13"/>
      <c r="AK52" s="13" t="s">
        <v>94</v>
      </c>
      <c r="AL52" s="13" t="s">
        <v>74</v>
      </c>
      <c r="AM52" s="13" t="s">
        <v>59</v>
      </c>
      <c r="AN52" s="13"/>
      <c r="AO52" s="110" t="s">
        <v>94</v>
      </c>
      <c r="AP52" s="110" t="s">
        <v>60</v>
      </c>
      <c r="AQ52" s="13">
        <v>0</v>
      </c>
      <c r="AR52" s="13">
        <v>1.32</v>
      </c>
      <c r="AS52" s="18"/>
    </row>
    <row r="53" spans="1:45">
      <c r="A53" s="117" t="s">
        <v>168</v>
      </c>
      <c r="B53" s="103" t="s">
        <v>488</v>
      </c>
      <c r="C53" s="111" t="s">
        <v>169</v>
      </c>
      <c r="D53" s="111" t="s">
        <v>66</v>
      </c>
      <c r="E53" s="111" t="s">
        <v>66</v>
      </c>
      <c r="F53" s="111" t="s">
        <v>45</v>
      </c>
      <c r="G53" s="111" t="s">
        <v>67</v>
      </c>
      <c r="H53" s="111" t="s">
        <v>47</v>
      </c>
      <c r="I53" s="111" t="s">
        <v>47</v>
      </c>
      <c r="J53" s="14">
        <v>1</v>
      </c>
      <c r="K53" s="14">
        <v>0</v>
      </c>
      <c r="L53" s="111" t="s">
        <v>371</v>
      </c>
      <c r="M53" s="111" t="s">
        <v>69</v>
      </c>
      <c r="N53" s="111" t="s">
        <v>372</v>
      </c>
      <c r="O53" s="14" t="s">
        <v>373</v>
      </c>
      <c r="P53" s="14">
        <v>25</v>
      </c>
      <c r="Q53" s="14" t="s">
        <v>374</v>
      </c>
      <c r="R53" s="14" t="s">
        <v>374</v>
      </c>
      <c r="S53" s="111" t="s">
        <v>47</v>
      </c>
      <c r="T53" s="111" t="s">
        <v>51</v>
      </c>
      <c r="U53" s="14"/>
      <c r="V53" s="111" t="s">
        <v>52</v>
      </c>
      <c r="W53" s="111" t="s">
        <v>72</v>
      </c>
      <c r="X53" s="111" t="s">
        <v>47</v>
      </c>
      <c r="Y53" s="111" t="s">
        <v>54</v>
      </c>
      <c r="Z53" s="111" t="s">
        <v>55</v>
      </c>
      <c r="AA53" s="111" t="s">
        <v>56</v>
      </c>
      <c r="AB53" s="111" t="s">
        <v>47</v>
      </c>
      <c r="AC53" s="111" t="s">
        <v>47</v>
      </c>
      <c r="AD53" s="111" t="s">
        <v>47</v>
      </c>
      <c r="AE53" s="111" t="s">
        <v>47</v>
      </c>
      <c r="AF53" s="14"/>
      <c r="AG53" s="14" t="s">
        <v>94</v>
      </c>
      <c r="AH53" s="14" t="s">
        <v>74</v>
      </c>
      <c r="AI53" s="14" t="s">
        <v>59</v>
      </c>
      <c r="AJ53" s="14"/>
      <c r="AK53" s="14" t="s">
        <v>94</v>
      </c>
      <c r="AL53" s="14" t="s">
        <v>74</v>
      </c>
      <c r="AM53" s="14" t="s">
        <v>59</v>
      </c>
      <c r="AN53" s="14"/>
      <c r="AO53" s="111" t="s">
        <v>94</v>
      </c>
      <c r="AP53" s="111" t="s">
        <v>60</v>
      </c>
      <c r="AQ53" s="14">
        <v>0</v>
      </c>
      <c r="AR53" s="14">
        <v>2.65</v>
      </c>
      <c r="AS53" s="19"/>
    </row>
    <row r="54" spans="1:45">
      <c r="A54" s="117" t="s">
        <v>170</v>
      </c>
      <c r="B54" s="102" t="s">
        <v>485</v>
      </c>
      <c r="C54" s="110" t="s">
        <v>171</v>
      </c>
      <c r="D54" s="110" t="s">
        <v>66</v>
      </c>
      <c r="E54" s="110" t="s">
        <v>66</v>
      </c>
      <c r="F54" s="110" t="s">
        <v>45</v>
      </c>
      <c r="G54" s="110" t="s">
        <v>67</v>
      </c>
      <c r="H54" s="110" t="s">
        <v>47</v>
      </c>
      <c r="I54" s="110" t="s">
        <v>47</v>
      </c>
      <c r="J54" s="13">
        <v>1</v>
      </c>
      <c r="K54" s="13">
        <v>0</v>
      </c>
      <c r="L54" s="110" t="s">
        <v>397</v>
      </c>
      <c r="M54" s="110" t="s">
        <v>69</v>
      </c>
      <c r="N54" s="110" t="s">
        <v>398</v>
      </c>
      <c r="O54" s="13" t="s">
        <v>399</v>
      </c>
      <c r="P54" s="13">
        <v>25</v>
      </c>
      <c r="Q54" s="13" t="s">
        <v>400</v>
      </c>
      <c r="R54" s="13" t="s">
        <v>400</v>
      </c>
      <c r="S54" s="110" t="s">
        <v>47</v>
      </c>
      <c r="T54" s="110" t="s">
        <v>51</v>
      </c>
      <c r="U54" s="13"/>
      <c r="V54" s="110" t="s">
        <v>52</v>
      </c>
      <c r="W54" s="110" t="s">
        <v>72</v>
      </c>
      <c r="X54" s="110" t="s">
        <v>47</v>
      </c>
      <c r="Y54" s="110" t="s">
        <v>54</v>
      </c>
      <c r="Z54" s="110" t="s">
        <v>55</v>
      </c>
      <c r="AA54" s="110" t="s">
        <v>56</v>
      </c>
      <c r="AB54" s="110" t="s">
        <v>47</v>
      </c>
      <c r="AC54" s="110" t="s">
        <v>47</v>
      </c>
      <c r="AD54" s="110" t="s">
        <v>47</v>
      </c>
      <c r="AE54" s="110" t="s">
        <v>47</v>
      </c>
      <c r="AF54" s="13"/>
      <c r="AG54" s="13" t="s">
        <v>94</v>
      </c>
      <c r="AH54" s="13" t="s">
        <v>74</v>
      </c>
      <c r="AI54" s="13" t="s">
        <v>59</v>
      </c>
      <c r="AJ54" s="13"/>
      <c r="AK54" s="13" t="s">
        <v>94</v>
      </c>
      <c r="AL54" s="13" t="s">
        <v>74</v>
      </c>
      <c r="AM54" s="13" t="s">
        <v>59</v>
      </c>
      <c r="AN54" s="13"/>
      <c r="AO54" s="110" t="s">
        <v>94</v>
      </c>
      <c r="AP54" s="110" t="s">
        <v>60</v>
      </c>
      <c r="AQ54" s="13">
        <v>0</v>
      </c>
      <c r="AR54" s="13">
        <v>14.15</v>
      </c>
      <c r="AS54" s="18"/>
    </row>
    <row r="55" spans="1:45">
      <c r="A55" s="117" t="s">
        <v>172</v>
      </c>
      <c r="B55" s="103" t="s">
        <v>487</v>
      </c>
      <c r="C55" s="111" t="s">
        <v>173</v>
      </c>
      <c r="D55" s="111" t="s">
        <v>66</v>
      </c>
      <c r="E55" s="111" t="s">
        <v>66</v>
      </c>
      <c r="F55" s="111" t="s">
        <v>45</v>
      </c>
      <c r="G55" s="111" t="s">
        <v>67</v>
      </c>
      <c r="H55" s="111" t="s">
        <v>47</v>
      </c>
      <c r="I55" s="111" t="s">
        <v>47</v>
      </c>
      <c r="J55" s="14">
        <v>1</v>
      </c>
      <c r="K55" s="14">
        <v>0</v>
      </c>
      <c r="L55" s="111" t="s">
        <v>397</v>
      </c>
      <c r="M55" s="111" t="s">
        <v>69</v>
      </c>
      <c r="N55" s="111" t="s">
        <v>398</v>
      </c>
      <c r="O55" s="14" t="s">
        <v>399</v>
      </c>
      <c r="P55" s="14">
        <v>50</v>
      </c>
      <c r="Q55" s="14" t="s">
        <v>401</v>
      </c>
      <c r="R55" s="14" t="s">
        <v>401</v>
      </c>
      <c r="S55" s="111" t="s">
        <v>47</v>
      </c>
      <c r="T55" s="111" t="s">
        <v>51</v>
      </c>
      <c r="U55" s="14"/>
      <c r="V55" s="111" t="s">
        <v>52</v>
      </c>
      <c r="W55" s="111" t="s">
        <v>72</v>
      </c>
      <c r="X55" s="111" t="s">
        <v>47</v>
      </c>
      <c r="Y55" s="111" t="s">
        <v>54</v>
      </c>
      <c r="Z55" s="111" t="s">
        <v>55</v>
      </c>
      <c r="AA55" s="111" t="s">
        <v>56</v>
      </c>
      <c r="AB55" s="111" t="s">
        <v>47</v>
      </c>
      <c r="AC55" s="111" t="s">
        <v>47</v>
      </c>
      <c r="AD55" s="111" t="s">
        <v>47</v>
      </c>
      <c r="AE55" s="111" t="s">
        <v>47</v>
      </c>
      <c r="AF55" s="14"/>
      <c r="AG55" s="14" t="s">
        <v>73</v>
      </c>
      <c r="AH55" s="14" t="s">
        <v>74</v>
      </c>
      <c r="AI55" s="14" t="s">
        <v>59</v>
      </c>
      <c r="AJ55" s="14"/>
      <c r="AK55" s="14" t="s">
        <v>73</v>
      </c>
      <c r="AL55" s="14" t="s">
        <v>74</v>
      </c>
      <c r="AM55" s="14" t="s">
        <v>59</v>
      </c>
      <c r="AN55" s="14"/>
      <c r="AO55" s="111" t="s">
        <v>73</v>
      </c>
      <c r="AP55" s="111" t="s">
        <v>60</v>
      </c>
      <c r="AQ55" s="14">
        <v>0</v>
      </c>
      <c r="AR55" s="14">
        <v>11.13</v>
      </c>
      <c r="AS55" s="19"/>
    </row>
    <row r="56" spans="1:45">
      <c r="A56" s="117" t="s">
        <v>174</v>
      </c>
      <c r="B56" s="102" t="s">
        <v>620</v>
      </c>
      <c r="C56" s="110" t="s">
        <v>175</v>
      </c>
      <c r="D56" s="110" t="s">
        <v>66</v>
      </c>
      <c r="E56" s="110" t="s">
        <v>66</v>
      </c>
      <c r="F56" s="110" t="s">
        <v>45</v>
      </c>
      <c r="G56" s="110" t="s">
        <v>67</v>
      </c>
      <c r="H56" s="110" t="s">
        <v>47</v>
      </c>
      <c r="I56" s="110" t="s">
        <v>47</v>
      </c>
      <c r="J56" s="13">
        <v>1</v>
      </c>
      <c r="K56" s="13">
        <v>0</v>
      </c>
      <c r="L56" s="110" t="s">
        <v>397</v>
      </c>
      <c r="M56" s="110" t="s">
        <v>69</v>
      </c>
      <c r="N56" s="110" t="s">
        <v>398</v>
      </c>
      <c r="O56" s="136" t="s">
        <v>619</v>
      </c>
      <c r="P56" s="136">
        <f>0.9*11</f>
        <v>9.9</v>
      </c>
      <c r="Q56" s="13" t="s">
        <v>176</v>
      </c>
      <c r="R56" s="13" t="s">
        <v>176</v>
      </c>
      <c r="S56" s="110" t="s">
        <v>47</v>
      </c>
      <c r="T56" s="110" t="s">
        <v>51</v>
      </c>
      <c r="U56" s="13"/>
      <c r="V56" s="110" t="s">
        <v>52</v>
      </c>
      <c r="W56" s="110" t="s">
        <v>72</v>
      </c>
      <c r="X56" s="110" t="s">
        <v>47</v>
      </c>
      <c r="Y56" s="110" t="s">
        <v>54</v>
      </c>
      <c r="Z56" s="110" t="s">
        <v>55</v>
      </c>
      <c r="AA56" s="110" t="s">
        <v>56</v>
      </c>
      <c r="AB56" s="110" t="s">
        <v>47</v>
      </c>
      <c r="AC56" s="110" t="s">
        <v>47</v>
      </c>
      <c r="AD56" s="110" t="s">
        <v>47</v>
      </c>
      <c r="AE56" s="110" t="s">
        <v>47</v>
      </c>
      <c r="AF56" s="13"/>
      <c r="AG56" s="13" t="s">
        <v>176</v>
      </c>
      <c r="AH56" s="13" t="s">
        <v>74</v>
      </c>
      <c r="AI56" s="13" t="s">
        <v>59</v>
      </c>
      <c r="AJ56" s="13"/>
      <c r="AK56" s="13" t="s">
        <v>176</v>
      </c>
      <c r="AL56" s="13" t="s">
        <v>74</v>
      </c>
      <c r="AM56" s="13" t="s">
        <v>59</v>
      </c>
      <c r="AN56" s="13"/>
      <c r="AO56" s="110" t="s">
        <v>176</v>
      </c>
      <c r="AP56" s="110" t="s">
        <v>60</v>
      </c>
      <c r="AQ56" s="13">
        <v>0</v>
      </c>
      <c r="AR56" s="13">
        <v>11.16</v>
      </c>
      <c r="AS56" s="18"/>
    </row>
    <row r="57" spans="1:45">
      <c r="A57" s="117" t="s">
        <v>177</v>
      </c>
      <c r="B57" s="103" t="s">
        <v>486</v>
      </c>
      <c r="C57" s="111" t="s">
        <v>178</v>
      </c>
      <c r="D57" s="111" t="s">
        <v>66</v>
      </c>
      <c r="E57" s="111" t="s">
        <v>66</v>
      </c>
      <c r="F57" s="111" t="s">
        <v>45</v>
      </c>
      <c r="G57" s="111" t="s">
        <v>67</v>
      </c>
      <c r="H57" s="111" t="s">
        <v>47</v>
      </c>
      <c r="I57" s="111" t="s">
        <v>47</v>
      </c>
      <c r="J57" s="14">
        <v>1</v>
      </c>
      <c r="K57" s="14">
        <v>0</v>
      </c>
      <c r="L57" s="111" t="s">
        <v>397</v>
      </c>
      <c r="M57" s="111" t="s">
        <v>69</v>
      </c>
      <c r="N57" s="111" t="s">
        <v>398</v>
      </c>
      <c r="O57" s="14" t="s">
        <v>399</v>
      </c>
      <c r="P57" s="14">
        <v>25</v>
      </c>
      <c r="Q57" s="14" t="s">
        <v>400</v>
      </c>
      <c r="R57" s="14" t="s">
        <v>400</v>
      </c>
      <c r="S57" s="111" t="s">
        <v>47</v>
      </c>
      <c r="T57" s="111" t="s">
        <v>51</v>
      </c>
      <c r="U57" s="14"/>
      <c r="V57" s="111" t="s">
        <v>52</v>
      </c>
      <c r="W57" s="111" t="s">
        <v>72</v>
      </c>
      <c r="X57" s="111" t="s">
        <v>47</v>
      </c>
      <c r="Y57" s="111" t="s">
        <v>54</v>
      </c>
      <c r="Z57" s="111" t="s">
        <v>55</v>
      </c>
      <c r="AA57" s="111" t="s">
        <v>56</v>
      </c>
      <c r="AB57" s="111" t="s">
        <v>47</v>
      </c>
      <c r="AC57" s="111" t="s">
        <v>47</v>
      </c>
      <c r="AD57" s="111" t="s">
        <v>47</v>
      </c>
      <c r="AE57" s="111" t="s">
        <v>47</v>
      </c>
      <c r="AF57" s="14"/>
      <c r="AG57" s="14" t="s">
        <v>94</v>
      </c>
      <c r="AH57" s="14" t="s">
        <v>74</v>
      </c>
      <c r="AI57" s="14" t="s">
        <v>59</v>
      </c>
      <c r="AJ57" s="14"/>
      <c r="AK57" s="14" t="s">
        <v>94</v>
      </c>
      <c r="AL57" s="14" t="s">
        <v>74</v>
      </c>
      <c r="AM57" s="14" t="s">
        <v>59</v>
      </c>
      <c r="AN57" s="14"/>
      <c r="AO57" s="111" t="s">
        <v>94</v>
      </c>
      <c r="AP57" s="111" t="s">
        <v>60</v>
      </c>
      <c r="AQ57" s="14">
        <v>0</v>
      </c>
      <c r="AR57" s="14">
        <v>0.375</v>
      </c>
      <c r="AS57" s="19"/>
    </row>
    <row r="58" spans="1:45">
      <c r="A58" s="117" t="s">
        <v>179</v>
      </c>
      <c r="B58" s="102" t="s">
        <v>490</v>
      </c>
      <c r="C58" s="110" t="s">
        <v>180</v>
      </c>
      <c r="D58" s="110" t="s">
        <v>66</v>
      </c>
      <c r="E58" s="110" t="s">
        <v>66</v>
      </c>
      <c r="F58" s="110" t="s">
        <v>45</v>
      </c>
      <c r="G58" s="110" t="s">
        <v>67</v>
      </c>
      <c r="H58" s="110" t="s">
        <v>47</v>
      </c>
      <c r="I58" s="110" t="s">
        <v>47</v>
      </c>
      <c r="J58" s="13">
        <v>1</v>
      </c>
      <c r="K58" s="13">
        <v>0</v>
      </c>
      <c r="L58" s="110" t="s">
        <v>371</v>
      </c>
      <c r="M58" s="110" t="s">
        <v>69</v>
      </c>
      <c r="N58" s="110" t="s">
        <v>372</v>
      </c>
      <c r="O58" s="13" t="s">
        <v>373</v>
      </c>
      <c r="P58" s="13">
        <v>25</v>
      </c>
      <c r="Q58" s="13" t="s">
        <v>374</v>
      </c>
      <c r="R58" s="13" t="s">
        <v>374</v>
      </c>
      <c r="S58" s="110" t="s">
        <v>47</v>
      </c>
      <c r="T58" s="110" t="s">
        <v>51</v>
      </c>
      <c r="U58" s="13"/>
      <c r="V58" s="110" t="s">
        <v>52</v>
      </c>
      <c r="W58" s="110" t="s">
        <v>72</v>
      </c>
      <c r="X58" s="110" t="s">
        <v>47</v>
      </c>
      <c r="Y58" s="110" t="s">
        <v>54</v>
      </c>
      <c r="Z58" s="110" t="s">
        <v>55</v>
      </c>
      <c r="AA58" s="110" t="s">
        <v>56</v>
      </c>
      <c r="AB58" s="110" t="s">
        <v>47</v>
      </c>
      <c r="AC58" s="110" t="s">
        <v>47</v>
      </c>
      <c r="AD58" s="110" t="s">
        <v>47</v>
      </c>
      <c r="AE58" s="110" t="s">
        <v>47</v>
      </c>
      <c r="AF58" s="13"/>
      <c r="AG58" s="13" t="s">
        <v>94</v>
      </c>
      <c r="AH58" s="13" t="s">
        <v>74</v>
      </c>
      <c r="AI58" s="13" t="s">
        <v>59</v>
      </c>
      <c r="AJ58" s="13"/>
      <c r="AK58" s="13" t="s">
        <v>94</v>
      </c>
      <c r="AL58" s="13" t="s">
        <v>74</v>
      </c>
      <c r="AM58" s="13" t="s">
        <v>59</v>
      </c>
      <c r="AN58" s="13"/>
      <c r="AO58" s="110" t="s">
        <v>94</v>
      </c>
      <c r="AP58" s="110" t="s">
        <v>60</v>
      </c>
      <c r="AQ58" s="13">
        <v>0</v>
      </c>
      <c r="AR58" s="13">
        <v>3.49</v>
      </c>
      <c r="AS58" s="18"/>
    </row>
    <row r="59" spans="1:45">
      <c r="A59" s="117" t="s">
        <v>181</v>
      </c>
      <c r="B59" s="103" t="s">
        <v>636</v>
      </c>
      <c r="C59" s="111" t="s">
        <v>182</v>
      </c>
      <c r="D59" s="111" t="s">
        <v>66</v>
      </c>
      <c r="E59" s="111" t="s">
        <v>66</v>
      </c>
      <c r="F59" s="111" t="s">
        <v>45</v>
      </c>
      <c r="G59" s="111" t="s">
        <v>67</v>
      </c>
      <c r="H59" s="111" t="s">
        <v>47</v>
      </c>
      <c r="I59" s="111" t="s">
        <v>47</v>
      </c>
      <c r="J59" s="14">
        <v>1</v>
      </c>
      <c r="K59" s="14">
        <v>0</v>
      </c>
      <c r="L59" s="111" t="s">
        <v>371</v>
      </c>
      <c r="M59" s="111" t="s">
        <v>69</v>
      </c>
      <c r="N59" s="111" t="s">
        <v>372</v>
      </c>
      <c r="O59" s="14" t="s">
        <v>373</v>
      </c>
      <c r="P59" s="14">
        <v>25</v>
      </c>
      <c r="Q59" s="14" t="s">
        <v>374</v>
      </c>
      <c r="R59" s="14" t="s">
        <v>374</v>
      </c>
      <c r="S59" s="111" t="s">
        <v>47</v>
      </c>
      <c r="T59" s="111" t="s">
        <v>51</v>
      </c>
      <c r="U59" s="14"/>
      <c r="V59" s="111" t="s">
        <v>52</v>
      </c>
      <c r="W59" s="111" t="s">
        <v>72</v>
      </c>
      <c r="X59" s="111" t="s">
        <v>47</v>
      </c>
      <c r="Y59" s="111" t="s">
        <v>54</v>
      </c>
      <c r="Z59" s="111" t="s">
        <v>55</v>
      </c>
      <c r="AA59" s="111" t="s">
        <v>56</v>
      </c>
      <c r="AB59" s="111" t="s">
        <v>47</v>
      </c>
      <c r="AC59" s="111" t="s">
        <v>47</v>
      </c>
      <c r="AD59" s="111" t="s">
        <v>47</v>
      </c>
      <c r="AE59" s="111" t="s">
        <v>47</v>
      </c>
      <c r="AF59" s="14"/>
      <c r="AG59" s="14" t="s">
        <v>94</v>
      </c>
      <c r="AH59" s="14" t="s">
        <v>74</v>
      </c>
      <c r="AI59" s="14" t="s">
        <v>59</v>
      </c>
      <c r="AJ59" s="14"/>
      <c r="AK59" s="14" t="s">
        <v>94</v>
      </c>
      <c r="AL59" s="14" t="s">
        <v>74</v>
      </c>
      <c r="AM59" s="14" t="s">
        <v>59</v>
      </c>
      <c r="AN59" s="14"/>
      <c r="AO59" s="111" t="s">
        <v>94</v>
      </c>
      <c r="AP59" s="111" t="s">
        <v>60</v>
      </c>
      <c r="AQ59" s="14">
        <v>0</v>
      </c>
      <c r="AR59" s="14">
        <v>8.5</v>
      </c>
      <c r="AS59" s="19"/>
    </row>
    <row r="60" spans="1:45">
      <c r="A60" s="117" t="s">
        <v>183</v>
      </c>
      <c r="B60" s="102" t="s">
        <v>492</v>
      </c>
      <c r="C60" s="110" t="s">
        <v>184</v>
      </c>
      <c r="D60" s="110" t="s">
        <v>66</v>
      </c>
      <c r="E60" s="110" t="s">
        <v>66</v>
      </c>
      <c r="F60" s="110" t="s">
        <v>45</v>
      </c>
      <c r="G60" s="110" t="s">
        <v>67</v>
      </c>
      <c r="H60" s="110" t="s">
        <v>47</v>
      </c>
      <c r="I60" s="110" t="s">
        <v>47</v>
      </c>
      <c r="J60" s="13">
        <v>1</v>
      </c>
      <c r="K60" s="13">
        <v>0</v>
      </c>
      <c r="L60" s="110" t="s">
        <v>371</v>
      </c>
      <c r="M60" s="110" t="s">
        <v>69</v>
      </c>
      <c r="N60" s="110" t="s">
        <v>372</v>
      </c>
      <c r="O60" s="13" t="s">
        <v>373</v>
      </c>
      <c r="P60" s="13">
        <v>15</v>
      </c>
      <c r="Q60" s="13" t="s">
        <v>374</v>
      </c>
      <c r="R60" s="13" t="s">
        <v>374</v>
      </c>
      <c r="S60" s="110" t="s">
        <v>47</v>
      </c>
      <c r="T60" s="110" t="s">
        <v>51</v>
      </c>
      <c r="U60" s="13"/>
      <c r="V60" s="110" t="s">
        <v>52</v>
      </c>
      <c r="W60" s="110" t="s">
        <v>72</v>
      </c>
      <c r="X60" s="110" t="s">
        <v>47</v>
      </c>
      <c r="Y60" s="110" t="s">
        <v>54</v>
      </c>
      <c r="Z60" s="110" t="s">
        <v>55</v>
      </c>
      <c r="AA60" s="110" t="s">
        <v>56</v>
      </c>
      <c r="AB60" s="110" t="s">
        <v>47</v>
      </c>
      <c r="AC60" s="110" t="s">
        <v>47</v>
      </c>
      <c r="AD60" s="110" t="s">
        <v>47</v>
      </c>
      <c r="AE60" s="110" t="s">
        <v>47</v>
      </c>
      <c r="AF60" s="13"/>
      <c r="AG60" s="13" t="s">
        <v>94</v>
      </c>
      <c r="AH60" s="13" t="s">
        <v>74</v>
      </c>
      <c r="AI60" s="13" t="s">
        <v>59</v>
      </c>
      <c r="AJ60" s="13"/>
      <c r="AK60" s="13" t="s">
        <v>94</v>
      </c>
      <c r="AL60" s="13" t="s">
        <v>74</v>
      </c>
      <c r="AM60" s="13" t="s">
        <v>59</v>
      </c>
      <c r="AN60" s="13"/>
      <c r="AO60" s="110" t="s">
        <v>94</v>
      </c>
      <c r="AP60" s="110" t="s">
        <v>60</v>
      </c>
      <c r="AQ60" s="13">
        <v>0</v>
      </c>
      <c r="AR60" s="13">
        <v>9.6999999999999993</v>
      </c>
      <c r="AS60" s="18"/>
    </row>
    <row r="61" spans="1:45">
      <c r="A61" s="117" t="s">
        <v>185</v>
      </c>
      <c r="B61" s="103" t="s">
        <v>185</v>
      </c>
      <c r="C61" s="111" t="s">
        <v>628</v>
      </c>
      <c r="D61" s="111" t="s">
        <v>66</v>
      </c>
      <c r="E61" s="111" t="s">
        <v>66</v>
      </c>
      <c r="F61" s="111" t="s">
        <v>45</v>
      </c>
      <c r="G61" s="111" t="s">
        <v>67</v>
      </c>
      <c r="H61" s="111" t="s">
        <v>47</v>
      </c>
      <c r="I61" s="111" t="s">
        <v>47</v>
      </c>
      <c r="J61" s="14">
        <v>1</v>
      </c>
      <c r="K61" s="14">
        <v>0</v>
      </c>
      <c r="L61" s="111" t="s">
        <v>371</v>
      </c>
      <c r="M61" s="111" t="s">
        <v>69</v>
      </c>
      <c r="N61" s="111" t="s">
        <v>372</v>
      </c>
      <c r="O61" s="14" t="s">
        <v>367</v>
      </c>
      <c r="P61" s="14">
        <v>1</v>
      </c>
      <c r="Q61" s="14" t="s">
        <v>379</v>
      </c>
      <c r="R61" s="14" t="s">
        <v>379</v>
      </c>
      <c r="S61" s="111" t="s">
        <v>47</v>
      </c>
      <c r="T61" s="111" t="s">
        <v>51</v>
      </c>
      <c r="U61" s="14"/>
      <c r="V61" s="111" t="s">
        <v>52</v>
      </c>
      <c r="W61" s="111" t="s">
        <v>72</v>
      </c>
      <c r="X61" s="111" t="s">
        <v>47</v>
      </c>
      <c r="Y61" s="111" t="s">
        <v>54</v>
      </c>
      <c r="Z61" s="111" t="s">
        <v>55</v>
      </c>
      <c r="AA61" s="111" t="s">
        <v>56</v>
      </c>
      <c r="AB61" s="111" t="s">
        <v>47</v>
      </c>
      <c r="AC61" s="111" t="s">
        <v>47</v>
      </c>
      <c r="AD61" s="111" t="s">
        <v>47</v>
      </c>
      <c r="AE61" s="111" t="s">
        <v>47</v>
      </c>
      <c r="AF61" s="14"/>
      <c r="AG61" s="14" t="s">
        <v>73</v>
      </c>
      <c r="AH61" s="14" t="s">
        <v>74</v>
      </c>
      <c r="AI61" s="14" t="s">
        <v>59</v>
      </c>
      <c r="AJ61" s="14"/>
      <c r="AK61" s="14" t="s">
        <v>73</v>
      </c>
      <c r="AL61" s="14" t="s">
        <v>74</v>
      </c>
      <c r="AM61" s="14" t="s">
        <v>59</v>
      </c>
      <c r="AN61" s="14"/>
      <c r="AO61" s="111" t="s">
        <v>73</v>
      </c>
      <c r="AP61" s="111" t="s">
        <v>60</v>
      </c>
      <c r="AQ61" s="14">
        <v>0</v>
      </c>
      <c r="AR61" s="14">
        <v>8.18</v>
      </c>
      <c r="AS61" s="19"/>
    </row>
    <row r="62" spans="1:45">
      <c r="A62" s="117" t="s">
        <v>187</v>
      </c>
      <c r="B62" s="102" t="s">
        <v>497</v>
      </c>
      <c r="C62" s="110" t="s">
        <v>188</v>
      </c>
      <c r="D62" s="110" t="s">
        <v>66</v>
      </c>
      <c r="E62" s="110" t="s">
        <v>66</v>
      </c>
      <c r="F62" s="110" t="s">
        <v>45</v>
      </c>
      <c r="G62" s="110" t="s">
        <v>67</v>
      </c>
      <c r="H62" s="110" t="s">
        <v>47</v>
      </c>
      <c r="I62" s="110" t="s">
        <v>47</v>
      </c>
      <c r="J62" s="13">
        <v>1</v>
      </c>
      <c r="K62" s="13">
        <v>0</v>
      </c>
      <c r="L62" s="110" t="s">
        <v>371</v>
      </c>
      <c r="M62" s="110" t="s">
        <v>69</v>
      </c>
      <c r="N62" s="110" t="s">
        <v>372</v>
      </c>
      <c r="O62" s="13" t="s">
        <v>373</v>
      </c>
      <c r="P62" s="13">
        <v>200</v>
      </c>
      <c r="Q62" s="13" t="s">
        <v>368</v>
      </c>
      <c r="R62" s="13" t="s">
        <v>368</v>
      </c>
      <c r="S62" s="110" t="s">
        <v>47</v>
      </c>
      <c r="T62" s="110" t="s">
        <v>51</v>
      </c>
      <c r="U62" s="13"/>
      <c r="V62" s="110" t="s">
        <v>52</v>
      </c>
      <c r="W62" s="110" t="s">
        <v>72</v>
      </c>
      <c r="X62" s="110" t="s">
        <v>47</v>
      </c>
      <c r="Y62" s="110" t="s">
        <v>54</v>
      </c>
      <c r="Z62" s="110" t="s">
        <v>55</v>
      </c>
      <c r="AA62" s="110" t="s">
        <v>56</v>
      </c>
      <c r="AB62" s="110" t="s">
        <v>47</v>
      </c>
      <c r="AC62" s="110" t="s">
        <v>47</v>
      </c>
      <c r="AD62" s="110" t="s">
        <v>47</v>
      </c>
      <c r="AE62" s="110" t="s">
        <v>47</v>
      </c>
      <c r="AF62" s="13"/>
      <c r="AG62" s="13" t="s">
        <v>73</v>
      </c>
      <c r="AH62" s="13" t="s">
        <v>74</v>
      </c>
      <c r="AI62" s="13" t="s">
        <v>59</v>
      </c>
      <c r="AJ62" s="13"/>
      <c r="AK62" s="13" t="s">
        <v>73</v>
      </c>
      <c r="AL62" s="13" t="s">
        <v>74</v>
      </c>
      <c r="AM62" s="13" t="s">
        <v>59</v>
      </c>
      <c r="AN62" s="13"/>
      <c r="AO62" s="110" t="s">
        <v>73</v>
      </c>
      <c r="AP62" s="110" t="s">
        <v>60</v>
      </c>
      <c r="AQ62" s="13">
        <v>0</v>
      </c>
      <c r="AR62" s="13">
        <v>0.497</v>
      </c>
      <c r="AS62" s="18"/>
    </row>
    <row r="63" spans="1:45">
      <c r="A63" s="117" t="s">
        <v>189</v>
      </c>
      <c r="B63" s="103" t="s">
        <v>189</v>
      </c>
      <c r="C63" s="111" t="s">
        <v>190</v>
      </c>
      <c r="D63" s="111" t="s">
        <v>66</v>
      </c>
      <c r="E63" s="111" t="s">
        <v>66</v>
      </c>
      <c r="F63" s="111" t="s">
        <v>45</v>
      </c>
      <c r="G63" s="111" t="s">
        <v>67</v>
      </c>
      <c r="H63" s="111" t="s">
        <v>47</v>
      </c>
      <c r="I63" s="111" t="s">
        <v>47</v>
      </c>
      <c r="J63" s="14">
        <v>25</v>
      </c>
      <c r="K63" s="14">
        <v>0</v>
      </c>
      <c r="L63" s="111" t="s">
        <v>371</v>
      </c>
      <c r="M63" s="111" t="s">
        <v>69</v>
      </c>
      <c r="N63" s="111" t="s">
        <v>372</v>
      </c>
      <c r="O63" s="14" t="s">
        <v>367</v>
      </c>
      <c r="P63" s="14">
        <v>1</v>
      </c>
      <c r="Q63" s="14" t="s">
        <v>368</v>
      </c>
      <c r="R63" s="14" t="s">
        <v>368</v>
      </c>
      <c r="S63" s="111" t="s">
        <v>47</v>
      </c>
      <c r="T63" s="111" t="s">
        <v>51</v>
      </c>
      <c r="U63" s="14"/>
      <c r="V63" s="111" t="s">
        <v>52</v>
      </c>
      <c r="W63" s="111" t="s">
        <v>72</v>
      </c>
      <c r="X63" s="111" t="s">
        <v>47</v>
      </c>
      <c r="Y63" s="111" t="s">
        <v>54</v>
      </c>
      <c r="Z63" s="111" t="s">
        <v>55</v>
      </c>
      <c r="AA63" s="111" t="s">
        <v>56</v>
      </c>
      <c r="AB63" s="111" t="s">
        <v>47</v>
      </c>
      <c r="AC63" s="111" t="s">
        <v>47</v>
      </c>
      <c r="AD63" s="111" t="s">
        <v>47</v>
      </c>
      <c r="AE63" s="111" t="s">
        <v>47</v>
      </c>
      <c r="AF63" s="14"/>
      <c r="AG63" s="14" t="s">
        <v>73</v>
      </c>
      <c r="AH63" s="14" t="s">
        <v>74</v>
      </c>
      <c r="AI63" s="14" t="s">
        <v>59</v>
      </c>
      <c r="AJ63" s="14"/>
      <c r="AK63" s="14" t="s">
        <v>73</v>
      </c>
      <c r="AL63" s="14" t="s">
        <v>74</v>
      </c>
      <c r="AM63" s="14" t="s">
        <v>59</v>
      </c>
      <c r="AN63" s="14"/>
      <c r="AO63" s="111" t="s">
        <v>73</v>
      </c>
      <c r="AP63" s="111" t="s">
        <v>60</v>
      </c>
      <c r="AQ63" s="14">
        <v>0</v>
      </c>
      <c r="AR63" s="14">
        <v>1.43</v>
      </c>
      <c r="AS63" s="19"/>
    </row>
    <row r="64" spans="1:45">
      <c r="A64" s="117" t="s">
        <v>330</v>
      </c>
      <c r="B64" s="102" t="s">
        <v>191</v>
      </c>
      <c r="C64" s="110" t="s">
        <v>192</v>
      </c>
      <c r="D64" s="110" t="s">
        <v>66</v>
      </c>
      <c r="E64" s="110" t="s">
        <v>66</v>
      </c>
      <c r="F64" s="110" t="s">
        <v>45</v>
      </c>
      <c r="G64" s="110" t="s">
        <v>67</v>
      </c>
      <c r="H64" s="110" t="s">
        <v>47</v>
      </c>
      <c r="I64" s="110" t="s">
        <v>47</v>
      </c>
      <c r="J64" s="13">
        <v>1</v>
      </c>
      <c r="K64" s="13">
        <v>0</v>
      </c>
      <c r="L64" s="110" t="s">
        <v>371</v>
      </c>
      <c r="M64" s="110" t="s">
        <v>69</v>
      </c>
      <c r="N64" s="110" t="s">
        <v>372</v>
      </c>
      <c r="O64" s="13" t="s">
        <v>373</v>
      </c>
      <c r="P64" s="13">
        <v>25</v>
      </c>
      <c r="Q64" s="13" t="s">
        <v>374</v>
      </c>
      <c r="R64" s="13" t="s">
        <v>374</v>
      </c>
      <c r="S64" s="110" t="s">
        <v>47</v>
      </c>
      <c r="T64" s="110" t="s">
        <v>51</v>
      </c>
      <c r="U64" s="13"/>
      <c r="V64" s="110" t="s">
        <v>52</v>
      </c>
      <c r="W64" s="110" t="s">
        <v>72</v>
      </c>
      <c r="X64" s="110" t="s">
        <v>47</v>
      </c>
      <c r="Y64" s="110" t="s">
        <v>54</v>
      </c>
      <c r="Z64" s="110" t="s">
        <v>55</v>
      </c>
      <c r="AA64" s="110" t="s">
        <v>56</v>
      </c>
      <c r="AB64" s="110" t="s">
        <v>47</v>
      </c>
      <c r="AC64" s="110" t="s">
        <v>47</v>
      </c>
      <c r="AD64" s="110" t="s">
        <v>47</v>
      </c>
      <c r="AE64" s="110" t="s">
        <v>47</v>
      </c>
      <c r="AF64" s="13"/>
      <c r="AG64" s="13" t="s">
        <v>73</v>
      </c>
      <c r="AH64" s="13" t="s">
        <v>74</v>
      </c>
      <c r="AI64" s="13" t="s">
        <v>59</v>
      </c>
      <c r="AJ64" s="13"/>
      <c r="AK64" s="13" t="s">
        <v>73</v>
      </c>
      <c r="AL64" s="13" t="s">
        <v>74</v>
      </c>
      <c r="AM64" s="13" t="s">
        <v>59</v>
      </c>
      <c r="AN64" s="13"/>
      <c r="AO64" s="110" t="s">
        <v>73</v>
      </c>
      <c r="AP64" s="110" t="s">
        <v>60</v>
      </c>
      <c r="AQ64" s="13">
        <v>0</v>
      </c>
      <c r="AR64" s="13">
        <v>6.3</v>
      </c>
      <c r="AS64" s="18"/>
    </row>
    <row r="65" spans="1:45">
      <c r="A65" s="117" t="s">
        <v>329</v>
      </c>
      <c r="B65" s="103" t="s">
        <v>193</v>
      </c>
      <c r="C65" s="111" t="s">
        <v>194</v>
      </c>
      <c r="D65" s="111" t="s">
        <v>66</v>
      </c>
      <c r="E65" s="111" t="s">
        <v>66</v>
      </c>
      <c r="F65" s="111" t="s">
        <v>45</v>
      </c>
      <c r="G65" s="111" t="s">
        <v>67</v>
      </c>
      <c r="H65" s="111" t="s">
        <v>47</v>
      </c>
      <c r="I65" s="111" t="s">
        <v>47</v>
      </c>
      <c r="J65" s="14">
        <v>1</v>
      </c>
      <c r="K65" s="14">
        <v>0</v>
      </c>
      <c r="L65" s="111" t="s">
        <v>371</v>
      </c>
      <c r="M65" s="111" t="s">
        <v>69</v>
      </c>
      <c r="N65" s="111" t="s">
        <v>372</v>
      </c>
      <c r="O65" s="14" t="s">
        <v>373</v>
      </c>
      <c r="P65" s="14">
        <v>25</v>
      </c>
      <c r="Q65" s="14" t="s">
        <v>374</v>
      </c>
      <c r="R65" s="14" t="s">
        <v>374</v>
      </c>
      <c r="S65" s="111" t="s">
        <v>47</v>
      </c>
      <c r="T65" s="111" t="s">
        <v>51</v>
      </c>
      <c r="U65" s="14"/>
      <c r="V65" s="111" t="s">
        <v>52</v>
      </c>
      <c r="W65" s="111" t="s">
        <v>72</v>
      </c>
      <c r="X65" s="111" t="s">
        <v>47</v>
      </c>
      <c r="Y65" s="111" t="s">
        <v>54</v>
      </c>
      <c r="Z65" s="111" t="s">
        <v>55</v>
      </c>
      <c r="AA65" s="111" t="s">
        <v>56</v>
      </c>
      <c r="AB65" s="111" t="s">
        <v>47</v>
      </c>
      <c r="AC65" s="111" t="s">
        <v>47</v>
      </c>
      <c r="AD65" s="111" t="s">
        <v>47</v>
      </c>
      <c r="AE65" s="111" t="s">
        <v>47</v>
      </c>
      <c r="AF65" s="14"/>
      <c r="AG65" s="14" t="s">
        <v>94</v>
      </c>
      <c r="AH65" s="14" t="s">
        <v>74</v>
      </c>
      <c r="AI65" s="14" t="s">
        <v>59</v>
      </c>
      <c r="AJ65" s="14"/>
      <c r="AK65" s="14" t="s">
        <v>94</v>
      </c>
      <c r="AL65" s="14" t="s">
        <v>74</v>
      </c>
      <c r="AM65" s="14" t="s">
        <v>59</v>
      </c>
      <c r="AN65" s="14"/>
      <c r="AO65" s="111" t="s">
        <v>94</v>
      </c>
      <c r="AP65" s="111" t="s">
        <v>60</v>
      </c>
      <c r="AQ65" s="14">
        <v>0</v>
      </c>
      <c r="AR65" s="14">
        <v>2.5</v>
      </c>
      <c r="AS65" s="19"/>
    </row>
    <row r="66" spans="1:45">
      <c r="A66" s="117" t="s">
        <v>434</v>
      </c>
      <c r="B66" s="102" t="s">
        <v>195</v>
      </c>
      <c r="C66" s="110" t="s">
        <v>195</v>
      </c>
      <c r="D66" s="110" t="s">
        <v>77</v>
      </c>
      <c r="E66" s="110" t="s">
        <v>78</v>
      </c>
      <c r="F66" s="110" t="s">
        <v>79</v>
      </c>
      <c r="G66" s="110" t="s">
        <v>79</v>
      </c>
      <c r="H66" s="110" t="s">
        <v>47</v>
      </c>
      <c r="I66" s="110" t="s">
        <v>47</v>
      </c>
      <c r="J66" s="13">
        <v>0</v>
      </c>
      <c r="K66" s="13">
        <v>0</v>
      </c>
      <c r="L66" s="110" t="s">
        <v>48</v>
      </c>
      <c r="M66" s="110" t="s">
        <v>69</v>
      </c>
      <c r="N66" s="110" t="s">
        <v>48</v>
      </c>
      <c r="O66" s="13" t="s">
        <v>85</v>
      </c>
      <c r="P66" s="13"/>
      <c r="Q66" s="13" t="s">
        <v>85</v>
      </c>
      <c r="R66" s="13" t="s">
        <v>85</v>
      </c>
      <c r="S66" s="110" t="s">
        <v>47</v>
      </c>
      <c r="T66" s="110" t="s">
        <v>51</v>
      </c>
      <c r="U66" s="13"/>
      <c r="V66" s="110" t="s">
        <v>52</v>
      </c>
      <c r="W66" s="110" t="s">
        <v>134</v>
      </c>
      <c r="X66" s="110" t="s">
        <v>47</v>
      </c>
      <c r="Y66" s="110" t="s">
        <v>54</v>
      </c>
      <c r="Z66" s="110" t="s">
        <v>55</v>
      </c>
      <c r="AA66" s="110" t="s">
        <v>56</v>
      </c>
      <c r="AB66" s="110" t="s">
        <v>77</v>
      </c>
      <c r="AC66" s="110" t="s">
        <v>135</v>
      </c>
      <c r="AD66" s="110" t="s">
        <v>47</v>
      </c>
      <c r="AE66" s="110" t="s">
        <v>47</v>
      </c>
      <c r="AF66" s="13"/>
      <c r="AG66" s="13" t="s">
        <v>85</v>
      </c>
      <c r="AH66" s="13" t="s">
        <v>74</v>
      </c>
      <c r="AI66" s="13" t="s">
        <v>84</v>
      </c>
      <c r="AJ66" s="13"/>
      <c r="AK66" s="13" t="s">
        <v>85</v>
      </c>
      <c r="AL66" s="13" t="s">
        <v>74</v>
      </c>
      <c r="AM66" s="13" t="s">
        <v>84</v>
      </c>
      <c r="AN66" s="13"/>
      <c r="AO66" s="110" t="s">
        <v>85</v>
      </c>
      <c r="AP66" s="110" t="s">
        <v>60</v>
      </c>
      <c r="AQ66" s="13">
        <v>0</v>
      </c>
      <c r="AR66" s="13">
        <v>0</v>
      </c>
      <c r="AS66" s="18"/>
    </row>
    <row r="67" spans="1:45">
      <c r="A67" s="117" t="s">
        <v>196</v>
      </c>
      <c r="B67" s="103" t="s">
        <v>196</v>
      </c>
      <c r="C67" s="111" t="s">
        <v>197</v>
      </c>
      <c r="D67" s="111" t="s">
        <v>44</v>
      </c>
      <c r="E67" s="111" t="s">
        <v>44</v>
      </c>
      <c r="F67" s="111" t="s">
        <v>45</v>
      </c>
      <c r="G67" s="111" t="s">
        <v>62</v>
      </c>
      <c r="H67" s="111" t="s">
        <v>47</v>
      </c>
      <c r="I67" s="111" t="s">
        <v>47</v>
      </c>
      <c r="J67" s="14">
        <v>25</v>
      </c>
      <c r="K67" s="14">
        <v>0</v>
      </c>
      <c r="L67" s="111" t="s">
        <v>48</v>
      </c>
      <c r="M67" s="111" t="s">
        <v>48</v>
      </c>
      <c r="N67" s="111" t="s">
        <v>48</v>
      </c>
      <c r="O67" s="14" t="s">
        <v>367</v>
      </c>
      <c r="P67" s="14"/>
      <c r="Q67" s="14" t="s">
        <v>368</v>
      </c>
      <c r="R67" s="14" t="s">
        <v>368</v>
      </c>
      <c r="S67" s="111" t="s">
        <v>47</v>
      </c>
      <c r="T67" s="111" t="s">
        <v>51</v>
      </c>
      <c r="U67" s="14"/>
      <c r="V67" s="111" t="s">
        <v>52</v>
      </c>
      <c r="W67" s="111" t="s">
        <v>53</v>
      </c>
      <c r="X67" s="111" t="s">
        <v>47</v>
      </c>
      <c r="Y67" s="111" t="s">
        <v>54</v>
      </c>
      <c r="Z67" s="111" t="s">
        <v>55</v>
      </c>
      <c r="AA67" s="111" t="s">
        <v>56</v>
      </c>
      <c r="AB67" s="111" t="s">
        <v>47</v>
      </c>
      <c r="AC67" s="111" t="s">
        <v>47</v>
      </c>
      <c r="AD67" s="111" t="s">
        <v>47</v>
      </c>
      <c r="AE67" s="111" t="s">
        <v>47</v>
      </c>
      <c r="AF67" s="14"/>
      <c r="AG67" s="14" t="s">
        <v>57</v>
      </c>
      <c r="AH67" s="14" t="s">
        <v>58</v>
      </c>
      <c r="AI67" s="14" t="s">
        <v>59</v>
      </c>
      <c r="AJ67" s="14"/>
      <c r="AK67" s="14" t="s">
        <v>57</v>
      </c>
      <c r="AL67" s="14" t="s">
        <v>58</v>
      </c>
      <c r="AM67" s="14" t="s">
        <v>59</v>
      </c>
      <c r="AN67" s="14"/>
      <c r="AO67" s="111" t="s">
        <v>57</v>
      </c>
      <c r="AP67" s="111" t="s">
        <v>60</v>
      </c>
      <c r="AQ67" s="14">
        <v>0</v>
      </c>
      <c r="AR67" s="14">
        <v>2.4049</v>
      </c>
      <c r="AS67" s="19"/>
    </row>
    <row r="68" spans="1:45">
      <c r="A68" s="117" t="s">
        <v>198</v>
      </c>
      <c r="B68" s="102" t="s">
        <v>198</v>
      </c>
      <c r="C68" s="110" t="s">
        <v>198</v>
      </c>
      <c r="D68" s="110" t="s">
        <v>77</v>
      </c>
      <c r="E68" s="110" t="s">
        <v>78</v>
      </c>
      <c r="F68" s="110" t="s">
        <v>79</v>
      </c>
      <c r="G68" s="110" t="s">
        <v>79</v>
      </c>
      <c r="H68" s="110" t="s">
        <v>47</v>
      </c>
      <c r="I68" s="110" t="s">
        <v>47</v>
      </c>
      <c r="J68" s="13">
        <v>0</v>
      </c>
      <c r="K68" s="13">
        <v>0</v>
      </c>
      <c r="L68" s="110" t="s">
        <v>48</v>
      </c>
      <c r="M68" s="110" t="s">
        <v>69</v>
      </c>
      <c r="N68" s="110" t="s">
        <v>48</v>
      </c>
      <c r="O68" s="13" t="s">
        <v>85</v>
      </c>
      <c r="P68" s="13"/>
      <c r="Q68" s="13" t="s">
        <v>85</v>
      </c>
      <c r="R68" s="13" t="s">
        <v>85</v>
      </c>
      <c r="S68" s="110" t="s">
        <v>47</v>
      </c>
      <c r="T68" s="110" t="s">
        <v>51</v>
      </c>
      <c r="U68" s="13"/>
      <c r="V68" s="110" t="s">
        <v>52</v>
      </c>
      <c r="W68" s="110" t="s">
        <v>134</v>
      </c>
      <c r="X68" s="110" t="s">
        <v>47</v>
      </c>
      <c r="Y68" s="110" t="s">
        <v>54</v>
      </c>
      <c r="Z68" s="110" t="s">
        <v>55</v>
      </c>
      <c r="AA68" s="110" t="s">
        <v>56</v>
      </c>
      <c r="AB68" s="110" t="s">
        <v>77</v>
      </c>
      <c r="AC68" s="110" t="s">
        <v>135</v>
      </c>
      <c r="AD68" s="110" t="s">
        <v>47</v>
      </c>
      <c r="AE68" s="110" t="s">
        <v>47</v>
      </c>
      <c r="AF68" s="13"/>
      <c r="AG68" s="13" t="s">
        <v>85</v>
      </c>
      <c r="AH68" s="13" t="s">
        <v>74</v>
      </c>
      <c r="AI68" s="13" t="s">
        <v>84</v>
      </c>
      <c r="AJ68" s="13"/>
      <c r="AK68" s="13" t="s">
        <v>85</v>
      </c>
      <c r="AL68" s="13" t="s">
        <v>74</v>
      </c>
      <c r="AM68" s="13" t="s">
        <v>84</v>
      </c>
      <c r="AN68" s="13"/>
      <c r="AO68" s="110" t="s">
        <v>85</v>
      </c>
      <c r="AP68" s="110" t="s">
        <v>60</v>
      </c>
      <c r="AQ68" s="13">
        <v>0</v>
      </c>
      <c r="AR68" s="13">
        <v>0</v>
      </c>
      <c r="AS68" s="18"/>
    </row>
    <row r="69" spans="1:45">
      <c r="A69" s="117" t="s">
        <v>435</v>
      </c>
      <c r="B69" s="103" t="s">
        <v>199</v>
      </c>
      <c r="C69" s="111" t="s">
        <v>199</v>
      </c>
      <c r="D69" s="111" t="s">
        <v>77</v>
      </c>
      <c r="E69" s="111" t="s">
        <v>78</v>
      </c>
      <c r="F69" s="111" t="s">
        <v>79</v>
      </c>
      <c r="G69" s="111" t="s">
        <v>79</v>
      </c>
      <c r="H69" s="111" t="s">
        <v>47</v>
      </c>
      <c r="I69" s="111" t="s">
        <v>47</v>
      </c>
      <c r="J69" s="14">
        <v>0</v>
      </c>
      <c r="K69" s="14">
        <v>0</v>
      </c>
      <c r="L69" s="111" t="s">
        <v>48</v>
      </c>
      <c r="M69" s="111" t="s">
        <v>69</v>
      </c>
      <c r="N69" s="111" t="s">
        <v>48</v>
      </c>
      <c r="O69" s="14" t="s">
        <v>85</v>
      </c>
      <c r="P69" s="14"/>
      <c r="Q69" s="14" t="s">
        <v>85</v>
      </c>
      <c r="R69" s="14" t="s">
        <v>85</v>
      </c>
      <c r="S69" s="111" t="s">
        <v>47</v>
      </c>
      <c r="T69" s="111" t="s">
        <v>51</v>
      </c>
      <c r="U69" s="14"/>
      <c r="V69" s="111" t="s">
        <v>52</v>
      </c>
      <c r="W69" s="111" t="s">
        <v>134</v>
      </c>
      <c r="X69" s="111" t="s">
        <v>47</v>
      </c>
      <c r="Y69" s="111" t="s">
        <v>54</v>
      </c>
      <c r="Z69" s="111" t="s">
        <v>55</v>
      </c>
      <c r="AA69" s="111" t="s">
        <v>56</v>
      </c>
      <c r="AB69" s="111" t="s">
        <v>77</v>
      </c>
      <c r="AC69" s="111" t="s">
        <v>135</v>
      </c>
      <c r="AD69" s="111" t="s">
        <v>47</v>
      </c>
      <c r="AE69" s="111" t="s">
        <v>47</v>
      </c>
      <c r="AF69" s="14"/>
      <c r="AG69" s="14" t="s">
        <v>85</v>
      </c>
      <c r="AH69" s="14" t="s">
        <v>74</v>
      </c>
      <c r="AI69" s="14" t="s">
        <v>84</v>
      </c>
      <c r="AJ69" s="14"/>
      <c r="AK69" s="14" t="s">
        <v>85</v>
      </c>
      <c r="AL69" s="14" t="s">
        <v>74</v>
      </c>
      <c r="AM69" s="14" t="s">
        <v>84</v>
      </c>
      <c r="AN69" s="14"/>
      <c r="AO69" s="111" t="s">
        <v>85</v>
      </c>
      <c r="AP69" s="111" t="s">
        <v>60</v>
      </c>
      <c r="AQ69" s="14">
        <v>0</v>
      </c>
      <c r="AR69" s="14">
        <v>0</v>
      </c>
      <c r="AS69" s="19"/>
    </row>
    <row r="70" spans="1:45">
      <c r="A70" s="117" t="s">
        <v>436</v>
      </c>
      <c r="B70" s="102" t="s">
        <v>200</v>
      </c>
      <c r="C70" s="110" t="s">
        <v>200</v>
      </c>
      <c r="D70" s="110" t="s">
        <v>77</v>
      </c>
      <c r="E70" s="110" t="s">
        <v>78</v>
      </c>
      <c r="F70" s="110" t="s">
        <v>79</v>
      </c>
      <c r="G70" s="110" t="s">
        <v>79</v>
      </c>
      <c r="H70" s="110" t="s">
        <v>47</v>
      </c>
      <c r="I70" s="110" t="s">
        <v>47</v>
      </c>
      <c r="J70" s="13">
        <v>0</v>
      </c>
      <c r="K70" s="13">
        <v>0</v>
      </c>
      <c r="L70" s="110" t="s">
        <v>48</v>
      </c>
      <c r="M70" s="110" t="s">
        <v>69</v>
      </c>
      <c r="N70" s="110" t="s">
        <v>48</v>
      </c>
      <c r="O70" s="13" t="s">
        <v>85</v>
      </c>
      <c r="P70" s="13"/>
      <c r="Q70" s="13" t="s">
        <v>85</v>
      </c>
      <c r="R70" s="13" t="s">
        <v>85</v>
      </c>
      <c r="S70" s="110" t="s">
        <v>47</v>
      </c>
      <c r="T70" s="110" t="s">
        <v>51</v>
      </c>
      <c r="U70" s="13"/>
      <c r="V70" s="110" t="s">
        <v>52</v>
      </c>
      <c r="W70" s="110" t="s">
        <v>134</v>
      </c>
      <c r="X70" s="110" t="s">
        <v>47</v>
      </c>
      <c r="Y70" s="110" t="s">
        <v>54</v>
      </c>
      <c r="Z70" s="110" t="s">
        <v>55</v>
      </c>
      <c r="AA70" s="110" t="s">
        <v>56</v>
      </c>
      <c r="AB70" s="110" t="s">
        <v>77</v>
      </c>
      <c r="AC70" s="110" t="s">
        <v>135</v>
      </c>
      <c r="AD70" s="110" t="s">
        <v>47</v>
      </c>
      <c r="AE70" s="110" t="s">
        <v>47</v>
      </c>
      <c r="AF70" s="13"/>
      <c r="AG70" s="13" t="s">
        <v>85</v>
      </c>
      <c r="AH70" s="13" t="s">
        <v>74</v>
      </c>
      <c r="AI70" s="13" t="s">
        <v>84</v>
      </c>
      <c r="AJ70" s="13"/>
      <c r="AK70" s="13" t="s">
        <v>85</v>
      </c>
      <c r="AL70" s="13" t="s">
        <v>74</v>
      </c>
      <c r="AM70" s="13" t="s">
        <v>84</v>
      </c>
      <c r="AN70" s="13"/>
      <c r="AO70" s="110" t="s">
        <v>85</v>
      </c>
      <c r="AP70" s="110" t="s">
        <v>60</v>
      </c>
      <c r="AQ70" s="13">
        <v>0</v>
      </c>
      <c r="AR70" s="13">
        <v>0</v>
      </c>
      <c r="AS70" s="18"/>
    </row>
    <row r="71" spans="1:45">
      <c r="A71" s="117" t="s">
        <v>437</v>
      </c>
      <c r="B71" s="103" t="s">
        <v>201</v>
      </c>
      <c r="C71" s="111" t="s">
        <v>201</v>
      </c>
      <c r="D71" s="111" t="s">
        <v>77</v>
      </c>
      <c r="E71" s="111" t="s">
        <v>78</v>
      </c>
      <c r="F71" s="111" t="s">
        <v>79</v>
      </c>
      <c r="G71" s="111" t="s">
        <v>79</v>
      </c>
      <c r="H71" s="111" t="s">
        <v>47</v>
      </c>
      <c r="I71" s="111" t="s">
        <v>47</v>
      </c>
      <c r="J71" s="14">
        <v>0</v>
      </c>
      <c r="K71" s="14">
        <v>0</v>
      </c>
      <c r="L71" s="111" t="s">
        <v>48</v>
      </c>
      <c r="M71" s="111" t="s">
        <v>69</v>
      </c>
      <c r="N71" s="111" t="s">
        <v>48</v>
      </c>
      <c r="O71" s="14" t="s">
        <v>85</v>
      </c>
      <c r="P71" s="14"/>
      <c r="Q71" s="14" t="s">
        <v>85</v>
      </c>
      <c r="R71" s="14" t="s">
        <v>85</v>
      </c>
      <c r="S71" s="111" t="s">
        <v>47</v>
      </c>
      <c r="T71" s="111" t="s">
        <v>51</v>
      </c>
      <c r="U71" s="14"/>
      <c r="V71" s="111" t="s">
        <v>52</v>
      </c>
      <c r="W71" s="111" t="s">
        <v>134</v>
      </c>
      <c r="X71" s="111" t="s">
        <v>47</v>
      </c>
      <c r="Y71" s="111" t="s">
        <v>54</v>
      </c>
      <c r="Z71" s="111" t="s">
        <v>55</v>
      </c>
      <c r="AA71" s="111" t="s">
        <v>56</v>
      </c>
      <c r="AB71" s="111" t="s">
        <v>77</v>
      </c>
      <c r="AC71" s="111" t="s">
        <v>135</v>
      </c>
      <c r="AD71" s="111" t="s">
        <v>47</v>
      </c>
      <c r="AE71" s="111" t="s">
        <v>47</v>
      </c>
      <c r="AF71" s="14"/>
      <c r="AG71" s="14" t="s">
        <v>85</v>
      </c>
      <c r="AH71" s="14" t="s">
        <v>74</v>
      </c>
      <c r="AI71" s="14" t="s">
        <v>84</v>
      </c>
      <c r="AJ71" s="14"/>
      <c r="AK71" s="14" t="s">
        <v>85</v>
      </c>
      <c r="AL71" s="14" t="s">
        <v>74</v>
      </c>
      <c r="AM71" s="14" t="s">
        <v>84</v>
      </c>
      <c r="AN71" s="14"/>
      <c r="AO71" s="111" t="s">
        <v>85</v>
      </c>
      <c r="AP71" s="111" t="s">
        <v>60</v>
      </c>
      <c r="AQ71" s="14">
        <v>0</v>
      </c>
      <c r="AR71" s="14">
        <v>0</v>
      </c>
      <c r="AS71" s="19"/>
    </row>
    <row r="72" spans="1:45">
      <c r="A72" s="117" t="s">
        <v>438</v>
      </c>
      <c r="B72" s="102" t="s">
        <v>202</v>
      </c>
      <c r="C72" s="110" t="s">
        <v>202</v>
      </c>
      <c r="D72" s="110" t="s">
        <v>77</v>
      </c>
      <c r="E72" s="110" t="s">
        <v>78</v>
      </c>
      <c r="F72" s="110" t="s">
        <v>79</v>
      </c>
      <c r="G72" s="110" t="s">
        <v>79</v>
      </c>
      <c r="H72" s="110" t="s">
        <v>47</v>
      </c>
      <c r="I72" s="110" t="s">
        <v>47</v>
      </c>
      <c r="J72" s="13">
        <v>0</v>
      </c>
      <c r="K72" s="13">
        <v>0</v>
      </c>
      <c r="L72" s="110" t="s">
        <v>48</v>
      </c>
      <c r="M72" s="110" t="s">
        <v>69</v>
      </c>
      <c r="N72" s="110" t="s">
        <v>48</v>
      </c>
      <c r="O72" s="13" t="s">
        <v>85</v>
      </c>
      <c r="P72" s="13"/>
      <c r="Q72" s="13" t="s">
        <v>85</v>
      </c>
      <c r="R72" s="13" t="s">
        <v>85</v>
      </c>
      <c r="S72" s="110" t="s">
        <v>47</v>
      </c>
      <c r="T72" s="110" t="s">
        <v>51</v>
      </c>
      <c r="U72" s="13"/>
      <c r="V72" s="110" t="s">
        <v>52</v>
      </c>
      <c r="W72" s="110" t="s">
        <v>203</v>
      </c>
      <c r="X72" s="110" t="s">
        <v>47</v>
      </c>
      <c r="Y72" s="110" t="s">
        <v>54</v>
      </c>
      <c r="Z72" s="110" t="s">
        <v>55</v>
      </c>
      <c r="AA72" s="110" t="s">
        <v>56</v>
      </c>
      <c r="AB72" s="110" t="s">
        <v>77</v>
      </c>
      <c r="AC72" s="110" t="s">
        <v>135</v>
      </c>
      <c r="AD72" s="110" t="s">
        <v>47</v>
      </c>
      <c r="AE72" s="110" t="s">
        <v>47</v>
      </c>
      <c r="AF72" s="13"/>
      <c r="AG72" s="13" t="s">
        <v>85</v>
      </c>
      <c r="AH72" s="13" t="s">
        <v>74</v>
      </c>
      <c r="AI72" s="13" t="s">
        <v>84</v>
      </c>
      <c r="AJ72" s="13"/>
      <c r="AK72" s="13" t="s">
        <v>85</v>
      </c>
      <c r="AL72" s="13" t="s">
        <v>74</v>
      </c>
      <c r="AM72" s="13" t="s">
        <v>84</v>
      </c>
      <c r="AN72" s="13"/>
      <c r="AO72" s="110" t="s">
        <v>85</v>
      </c>
      <c r="AP72" s="110" t="s">
        <v>60</v>
      </c>
      <c r="AQ72" s="13">
        <v>0</v>
      </c>
      <c r="AR72" s="13">
        <v>0</v>
      </c>
      <c r="AS72" s="18"/>
    </row>
    <row r="73" spans="1:45">
      <c r="A73" s="117" t="s">
        <v>439</v>
      </c>
      <c r="B73" s="103" t="s">
        <v>204</v>
      </c>
      <c r="C73" s="111" t="s">
        <v>204</v>
      </c>
      <c r="D73" s="111" t="s">
        <v>77</v>
      </c>
      <c r="E73" s="111" t="s">
        <v>78</v>
      </c>
      <c r="F73" s="111" t="s">
        <v>79</v>
      </c>
      <c r="G73" s="111" t="s">
        <v>79</v>
      </c>
      <c r="H73" s="111" t="s">
        <v>47</v>
      </c>
      <c r="I73" s="111" t="s">
        <v>47</v>
      </c>
      <c r="J73" s="14">
        <v>0</v>
      </c>
      <c r="K73" s="14">
        <v>0</v>
      </c>
      <c r="L73" s="111" t="s">
        <v>48</v>
      </c>
      <c r="M73" s="111" t="s">
        <v>69</v>
      </c>
      <c r="N73" s="111" t="s">
        <v>48</v>
      </c>
      <c r="O73" s="14" t="s">
        <v>85</v>
      </c>
      <c r="P73" s="14"/>
      <c r="Q73" s="14" t="s">
        <v>85</v>
      </c>
      <c r="R73" s="14" t="s">
        <v>85</v>
      </c>
      <c r="S73" s="111" t="s">
        <v>47</v>
      </c>
      <c r="T73" s="111" t="s">
        <v>51</v>
      </c>
      <c r="U73" s="14"/>
      <c r="V73" s="111" t="s">
        <v>52</v>
      </c>
      <c r="W73" s="111" t="s">
        <v>134</v>
      </c>
      <c r="X73" s="111" t="s">
        <v>47</v>
      </c>
      <c r="Y73" s="111" t="s">
        <v>54</v>
      </c>
      <c r="Z73" s="111" t="s">
        <v>55</v>
      </c>
      <c r="AA73" s="111" t="s">
        <v>56</v>
      </c>
      <c r="AB73" s="111" t="s">
        <v>77</v>
      </c>
      <c r="AC73" s="111" t="s">
        <v>135</v>
      </c>
      <c r="AD73" s="111" t="s">
        <v>47</v>
      </c>
      <c r="AE73" s="111" t="s">
        <v>47</v>
      </c>
      <c r="AF73" s="14"/>
      <c r="AG73" s="14" t="s">
        <v>85</v>
      </c>
      <c r="AH73" s="14" t="s">
        <v>74</v>
      </c>
      <c r="AI73" s="14" t="s">
        <v>84</v>
      </c>
      <c r="AJ73" s="14"/>
      <c r="AK73" s="14" t="s">
        <v>85</v>
      </c>
      <c r="AL73" s="14" t="s">
        <v>74</v>
      </c>
      <c r="AM73" s="14" t="s">
        <v>84</v>
      </c>
      <c r="AN73" s="14"/>
      <c r="AO73" s="111" t="s">
        <v>85</v>
      </c>
      <c r="AP73" s="111" t="s">
        <v>60</v>
      </c>
      <c r="AQ73" s="14">
        <v>0</v>
      </c>
      <c r="AR73" s="14">
        <v>0</v>
      </c>
      <c r="AS73" s="19"/>
    </row>
    <row r="74" spans="1:45">
      <c r="A74" s="117" t="s">
        <v>205</v>
      </c>
      <c r="B74" s="102" t="s">
        <v>205</v>
      </c>
      <c r="C74" s="109" t="s">
        <v>402</v>
      </c>
      <c r="D74" s="110" t="s">
        <v>44</v>
      </c>
      <c r="E74" s="110" t="s">
        <v>44</v>
      </c>
      <c r="F74" s="110" t="s">
        <v>45</v>
      </c>
      <c r="G74" s="110" t="s">
        <v>62</v>
      </c>
      <c r="H74" s="110" t="s">
        <v>47</v>
      </c>
      <c r="I74" s="110" t="s">
        <v>47</v>
      </c>
      <c r="J74" s="13">
        <v>2</v>
      </c>
      <c r="K74" s="13">
        <v>0</v>
      </c>
      <c r="L74" s="110" t="s">
        <v>48</v>
      </c>
      <c r="M74" s="110" t="s">
        <v>48</v>
      </c>
      <c r="N74" s="110" t="s">
        <v>48</v>
      </c>
      <c r="O74" s="13" t="s">
        <v>367</v>
      </c>
      <c r="P74" s="13"/>
      <c r="Q74" s="13" t="s">
        <v>379</v>
      </c>
      <c r="R74" s="13" t="s">
        <v>379</v>
      </c>
      <c r="S74" s="110" t="s">
        <v>47</v>
      </c>
      <c r="T74" s="110" t="s">
        <v>51</v>
      </c>
      <c r="U74" s="13"/>
      <c r="V74" s="110" t="s">
        <v>52</v>
      </c>
      <c r="W74" s="110" t="s">
        <v>53</v>
      </c>
      <c r="X74" s="110" t="s">
        <v>47</v>
      </c>
      <c r="Y74" s="110" t="s">
        <v>54</v>
      </c>
      <c r="Z74" s="110" t="s">
        <v>55</v>
      </c>
      <c r="AA74" s="110" t="s">
        <v>56</v>
      </c>
      <c r="AB74" s="110" t="s">
        <v>47</v>
      </c>
      <c r="AC74" s="110" t="s">
        <v>47</v>
      </c>
      <c r="AD74" s="110" t="s">
        <v>47</v>
      </c>
      <c r="AE74" s="110" t="s">
        <v>47</v>
      </c>
      <c r="AF74" s="13"/>
      <c r="AG74" s="13" t="s">
        <v>57</v>
      </c>
      <c r="AH74" s="13" t="s">
        <v>58</v>
      </c>
      <c r="AI74" s="13" t="s">
        <v>59</v>
      </c>
      <c r="AJ74" s="13"/>
      <c r="AK74" s="13" t="s">
        <v>57</v>
      </c>
      <c r="AL74" s="13" t="s">
        <v>58</v>
      </c>
      <c r="AM74" s="13" t="s">
        <v>59</v>
      </c>
      <c r="AN74" s="13"/>
      <c r="AO74" s="110" t="s">
        <v>57</v>
      </c>
      <c r="AP74" s="110" t="s">
        <v>60</v>
      </c>
      <c r="AQ74" s="13">
        <v>0</v>
      </c>
      <c r="AR74" s="13">
        <v>3.7366000000000001</v>
      </c>
      <c r="AS74" s="18"/>
    </row>
    <row r="75" spans="1:45">
      <c r="A75" s="117" t="s">
        <v>206</v>
      </c>
      <c r="B75" s="103" t="s">
        <v>206</v>
      </c>
      <c r="C75" s="109" t="s">
        <v>403</v>
      </c>
      <c r="D75" s="111" t="s">
        <v>44</v>
      </c>
      <c r="E75" s="109" t="s">
        <v>44</v>
      </c>
      <c r="F75" s="111" t="s">
        <v>45</v>
      </c>
      <c r="G75" s="109" t="s">
        <v>62</v>
      </c>
      <c r="H75" s="111" t="s">
        <v>47</v>
      </c>
      <c r="I75" s="111" t="s">
        <v>47</v>
      </c>
      <c r="J75" s="14">
        <v>7</v>
      </c>
      <c r="K75" s="14">
        <v>0</v>
      </c>
      <c r="L75" s="111" t="s">
        <v>48</v>
      </c>
      <c r="M75" s="111" t="s">
        <v>48</v>
      </c>
      <c r="N75" s="111" t="s">
        <v>48</v>
      </c>
      <c r="O75" s="14" t="s">
        <v>367</v>
      </c>
      <c r="P75" s="14"/>
      <c r="Q75" s="14" t="s">
        <v>379</v>
      </c>
      <c r="R75" s="14" t="s">
        <v>379</v>
      </c>
      <c r="S75" s="111" t="s">
        <v>47</v>
      </c>
      <c r="T75" s="111" t="s">
        <v>51</v>
      </c>
      <c r="U75" s="14"/>
      <c r="V75" s="111" t="s">
        <v>52</v>
      </c>
      <c r="W75" s="111" t="s">
        <v>53</v>
      </c>
      <c r="X75" s="111" t="s">
        <v>47</v>
      </c>
      <c r="Y75" s="111" t="s">
        <v>54</v>
      </c>
      <c r="Z75" s="111" t="s">
        <v>55</v>
      </c>
      <c r="AA75" s="111" t="s">
        <v>56</v>
      </c>
      <c r="AB75" s="111" t="s">
        <v>47</v>
      </c>
      <c r="AC75" s="111" t="s">
        <v>47</v>
      </c>
      <c r="AD75" s="111" t="s">
        <v>47</v>
      </c>
      <c r="AE75" s="111" t="s">
        <v>47</v>
      </c>
      <c r="AF75" s="14"/>
      <c r="AG75" s="14" t="s">
        <v>57</v>
      </c>
      <c r="AH75" s="14" t="s">
        <v>58</v>
      </c>
      <c r="AI75" s="14" t="s">
        <v>59</v>
      </c>
      <c r="AJ75" s="14"/>
      <c r="AK75" s="14" t="s">
        <v>57</v>
      </c>
      <c r="AL75" s="14" t="s">
        <v>58</v>
      </c>
      <c r="AM75" s="14" t="s">
        <v>59</v>
      </c>
      <c r="AN75" s="14"/>
      <c r="AO75" s="111" t="s">
        <v>57</v>
      </c>
      <c r="AP75" s="111" t="s">
        <v>60</v>
      </c>
      <c r="AQ75" s="14">
        <v>0</v>
      </c>
      <c r="AR75" s="14">
        <v>3.7366000000000001</v>
      </c>
      <c r="AS75" s="19"/>
    </row>
    <row r="76" spans="1:45">
      <c r="A76" s="117" t="s">
        <v>207</v>
      </c>
      <c r="B76" s="102" t="s">
        <v>207</v>
      </c>
      <c r="C76" s="109" t="s">
        <v>404</v>
      </c>
      <c r="D76" s="110" t="s">
        <v>44</v>
      </c>
      <c r="E76" s="109" t="s">
        <v>44</v>
      </c>
      <c r="F76" s="110" t="s">
        <v>45</v>
      </c>
      <c r="G76" s="109" t="s">
        <v>62</v>
      </c>
      <c r="H76" s="110" t="s">
        <v>47</v>
      </c>
      <c r="I76" s="110" t="s">
        <v>47</v>
      </c>
      <c r="J76" s="13">
        <v>14</v>
      </c>
      <c r="K76" s="13">
        <v>0</v>
      </c>
      <c r="L76" s="110" t="s">
        <v>48</v>
      </c>
      <c r="M76" s="110" t="s">
        <v>48</v>
      </c>
      <c r="N76" s="110" t="s">
        <v>48</v>
      </c>
      <c r="O76" s="13" t="s">
        <v>367</v>
      </c>
      <c r="P76" s="13"/>
      <c r="Q76" s="13" t="s">
        <v>379</v>
      </c>
      <c r="R76" s="13" t="s">
        <v>379</v>
      </c>
      <c r="S76" s="110" t="s">
        <v>47</v>
      </c>
      <c r="T76" s="110" t="s">
        <v>51</v>
      </c>
      <c r="U76" s="13"/>
      <c r="V76" s="110" t="s">
        <v>52</v>
      </c>
      <c r="W76" s="110" t="s">
        <v>53</v>
      </c>
      <c r="X76" s="110" t="s">
        <v>47</v>
      </c>
      <c r="Y76" s="110" t="s">
        <v>54</v>
      </c>
      <c r="Z76" s="110" t="s">
        <v>55</v>
      </c>
      <c r="AA76" s="110" t="s">
        <v>56</v>
      </c>
      <c r="AB76" s="110" t="s">
        <v>47</v>
      </c>
      <c r="AC76" s="110" t="s">
        <v>47</v>
      </c>
      <c r="AD76" s="110" t="s">
        <v>47</v>
      </c>
      <c r="AE76" s="110" t="s">
        <v>47</v>
      </c>
      <c r="AF76" s="13"/>
      <c r="AG76" s="13" t="s">
        <v>57</v>
      </c>
      <c r="AH76" s="13" t="s">
        <v>58</v>
      </c>
      <c r="AI76" s="13" t="s">
        <v>59</v>
      </c>
      <c r="AJ76" s="13"/>
      <c r="AK76" s="13" t="s">
        <v>57</v>
      </c>
      <c r="AL76" s="13" t="s">
        <v>58</v>
      </c>
      <c r="AM76" s="13" t="s">
        <v>59</v>
      </c>
      <c r="AN76" s="13"/>
      <c r="AO76" s="110" t="s">
        <v>57</v>
      </c>
      <c r="AP76" s="110" t="s">
        <v>60</v>
      </c>
      <c r="AQ76" s="13">
        <v>0</v>
      </c>
      <c r="AR76" s="13">
        <v>3.7366000000000001</v>
      </c>
      <c r="AS76" s="18"/>
    </row>
    <row r="77" spans="1:45">
      <c r="A77" s="117" t="s">
        <v>208</v>
      </c>
      <c r="B77" s="103" t="s">
        <v>208</v>
      </c>
      <c r="C77" s="109" t="s">
        <v>405</v>
      </c>
      <c r="D77" s="111" t="s">
        <v>44</v>
      </c>
      <c r="E77" s="111" t="s">
        <v>44</v>
      </c>
      <c r="F77" s="111" t="s">
        <v>45</v>
      </c>
      <c r="G77" s="111" t="s">
        <v>62</v>
      </c>
      <c r="H77" s="111" t="s">
        <v>47</v>
      </c>
      <c r="I77" s="111" t="s">
        <v>47</v>
      </c>
      <c r="J77" s="14">
        <v>2</v>
      </c>
      <c r="K77" s="14">
        <v>0</v>
      </c>
      <c r="L77" s="111" t="s">
        <v>48</v>
      </c>
      <c r="M77" s="111" t="s">
        <v>48</v>
      </c>
      <c r="N77" s="111" t="s">
        <v>48</v>
      </c>
      <c r="O77" s="14" t="s">
        <v>367</v>
      </c>
      <c r="P77" s="14"/>
      <c r="Q77" s="14" t="s">
        <v>379</v>
      </c>
      <c r="R77" s="14" t="s">
        <v>379</v>
      </c>
      <c r="S77" s="111" t="s">
        <v>47</v>
      </c>
      <c r="T77" s="111" t="s">
        <v>51</v>
      </c>
      <c r="U77" s="14"/>
      <c r="V77" s="111" t="s">
        <v>52</v>
      </c>
      <c r="W77" s="111" t="s">
        <v>53</v>
      </c>
      <c r="X77" s="111" t="s">
        <v>47</v>
      </c>
      <c r="Y77" s="111" t="s">
        <v>54</v>
      </c>
      <c r="Z77" s="111" t="s">
        <v>55</v>
      </c>
      <c r="AA77" s="111" t="s">
        <v>56</v>
      </c>
      <c r="AB77" s="111" t="s">
        <v>47</v>
      </c>
      <c r="AC77" s="111" t="s">
        <v>47</v>
      </c>
      <c r="AD77" s="111" t="s">
        <v>47</v>
      </c>
      <c r="AE77" s="111" t="s">
        <v>47</v>
      </c>
      <c r="AF77" s="14"/>
      <c r="AG77" s="14" t="s">
        <v>57</v>
      </c>
      <c r="AH77" s="14" t="s">
        <v>58</v>
      </c>
      <c r="AI77" s="14" t="s">
        <v>59</v>
      </c>
      <c r="AJ77" s="14"/>
      <c r="AK77" s="14" t="s">
        <v>57</v>
      </c>
      <c r="AL77" s="14" t="s">
        <v>58</v>
      </c>
      <c r="AM77" s="14" t="s">
        <v>59</v>
      </c>
      <c r="AN77" s="14"/>
      <c r="AO77" s="111" t="s">
        <v>57</v>
      </c>
      <c r="AP77" s="111" t="s">
        <v>60</v>
      </c>
      <c r="AQ77" s="14">
        <v>0</v>
      </c>
      <c r="AR77" s="14">
        <v>5.6120000000000001</v>
      </c>
      <c r="AS77" s="19"/>
    </row>
    <row r="78" spans="1:45">
      <c r="A78" s="117" t="s">
        <v>209</v>
      </c>
      <c r="B78" s="102" t="s">
        <v>209</v>
      </c>
      <c r="C78" s="109" t="s">
        <v>406</v>
      </c>
      <c r="D78" s="110" t="s">
        <v>44</v>
      </c>
      <c r="E78" s="109" t="s">
        <v>44</v>
      </c>
      <c r="F78" s="110" t="s">
        <v>45</v>
      </c>
      <c r="G78" s="109" t="s">
        <v>62</v>
      </c>
      <c r="H78" s="110" t="s">
        <v>47</v>
      </c>
      <c r="I78" s="110" t="s">
        <v>47</v>
      </c>
      <c r="J78" s="13">
        <v>5</v>
      </c>
      <c r="K78" s="13">
        <v>0</v>
      </c>
      <c r="L78" s="110" t="s">
        <v>48</v>
      </c>
      <c r="M78" s="110" t="s">
        <v>48</v>
      </c>
      <c r="N78" s="110" t="s">
        <v>48</v>
      </c>
      <c r="O78" s="13" t="s">
        <v>367</v>
      </c>
      <c r="P78" s="13"/>
      <c r="Q78" s="13" t="s">
        <v>379</v>
      </c>
      <c r="R78" s="13" t="s">
        <v>379</v>
      </c>
      <c r="S78" s="110" t="s">
        <v>47</v>
      </c>
      <c r="T78" s="110" t="s">
        <v>51</v>
      </c>
      <c r="U78" s="13"/>
      <c r="V78" s="110" t="s">
        <v>52</v>
      </c>
      <c r="W78" s="110" t="s">
        <v>53</v>
      </c>
      <c r="X78" s="110" t="s">
        <v>47</v>
      </c>
      <c r="Y78" s="110" t="s">
        <v>54</v>
      </c>
      <c r="Z78" s="110" t="s">
        <v>55</v>
      </c>
      <c r="AA78" s="110" t="s">
        <v>56</v>
      </c>
      <c r="AB78" s="110" t="s">
        <v>47</v>
      </c>
      <c r="AC78" s="110" t="s">
        <v>47</v>
      </c>
      <c r="AD78" s="110" t="s">
        <v>47</v>
      </c>
      <c r="AE78" s="110" t="s">
        <v>47</v>
      </c>
      <c r="AF78" s="13"/>
      <c r="AG78" s="13" t="s">
        <v>57</v>
      </c>
      <c r="AH78" s="13" t="s">
        <v>58</v>
      </c>
      <c r="AI78" s="13" t="s">
        <v>59</v>
      </c>
      <c r="AJ78" s="13"/>
      <c r="AK78" s="13" t="s">
        <v>57</v>
      </c>
      <c r="AL78" s="13" t="s">
        <v>58</v>
      </c>
      <c r="AM78" s="13" t="s">
        <v>59</v>
      </c>
      <c r="AN78" s="13"/>
      <c r="AO78" s="110" t="s">
        <v>57</v>
      </c>
      <c r="AP78" s="110" t="s">
        <v>60</v>
      </c>
      <c r="AQ78" s="13">
        <v>0</v>
      </c>
      <c r="AR78" s="13">
        <v>5.6050000000000004</v>
      </c>
      <c r="AS78" s="18"/>
    </row>
    <row r="79" spans="1:45">
      <c r="A79" s="117" t="s">
        <v>210</v>
      </c>
      <c r="B79" s="103" t="s">
        <v>210</v>
      </c>
      <c r="C79" s="109" t="s">
        <v>407</v>
      </c>
      <c r="D79" s="111" t="s">
        <v>44</v>
      </c>
      <c r="E79" s="111" t="s">
        <v>44</v>
      </c>
      <c r="F79" s="111" t="s">
        <v>45</v>
      </c>
      <c r="G79" s="111" t="s">
        <v>62</v>
      </c>
      <c r="H79" s="111" t="s">
        <v>47</v>
      </c>
      <c r="I79" s="111" t="s">
        <v>47</v>
      </c>
      <c r="J79" s="14">
        <v>2</v>
      </c>
      <c r="K79" s="14">
        <v>0</v>
      </c>
      <c r="L79" s="111" t="s">
        <v>48</v>
      </c>
      <c r="M79" s="111" t="s">
        <v>48</v>
      </c>
      <c r="N79" s="111" t="s">
        <v>48</v>
      </c>
      <c r="O79" s="14" t="s">
        <v>367</v>
      </c>
      <c r="P79" s="14"/>
      <c r="Q79" s="14" t="s">
        <v>379</v>
      </c>
      <c r="R79" s="14" t="s">
        <v>379</v>
      </c>
      <c r="S79" s="111" t="s">
        <v>47</v>
      </c>
      <c r="T79" s="111" t="s">
        <v>51</v>
      </c>
      <c r="U79" s="14"/>
      <c r="V79" s="111" t="s">
        <v>52</v>
      </c>
      <c r="W79" s="111" t="s">
        <v>53</v>
      </c>
      <c r="X79" s="111" t="s">
        <v>47</v>
      </c>
      <c r="Y79" s="111" t="s">
        <v>54</v>
      </c>
      <c r="Z79" s="111" t="s">
        <v>55</v>
      </c>
      <c r="AA79" s="111" t="s">
        <v>56</v>
      </c>
      <c r="AB79" s="111" t="s">
        <v>47</v>
      </c>
      <c r="AC79" s="111" t="s">
        <v>47</v>
      </c>
      <c r="AD79" s="111" t="s">
        <v>47</v>
      </c>
      <c r="AE79" s="111" t="s">
        <v>47</v>
      </c>
      <c r="AF79" s="14"/>
      <c r="AG79" s="14" t="s">
        <v>57</v>
      </c>
      <c r="AH79" s="14" t="s">
        <v>58</v>
      </c>
      <c r="AI79" s="14" t="s">
        <v>59</v>
      </c>
      <c r="AJ79" s="14"/>
      <c r="AK79" s="14" t="s">
        <v>57</v>
      </c>
      <c r="AL79" s="14" t="s">
        <v>58</v>
      </c>
      <c r="AM79" s="14" t="s">
        <v>59</v>
      </c>
      <c r="AN79" s="14"/>
      <c r="AO79" s="111" t="s">
        <v>57</v>
      </c>
      <c r="AP79" s="111" t="s">
        <v>60</v>
      </c>
      <c r="AQ79" s="14">
        <v>0</v>
      </c>
      <c r="AR79" s="14">
        <v>10.8116</v>
      </c>
      <c r="AS79" s="19"/>
    </row>
    <row r="80" spans="1:45">
      <c r="A80" s="117" t="s">
        <v>211</v>
      </c>
      <c r="B80" s="102" t="s">
        <v>211</v>
      </c>
      <c r="C80" s="109" t="s">
        <v>408</v>
      </c>
      <c r="D80" s="110" t="s">
        <v>44</v>
      </c>
      <c r="E80" s="109" t="s">
        <v>44</v>
      </c>
      <c r="F80" s="110" t="s">
        <v>45</v>
      </c>
      <c r="G80" s="110" t="s">
        <v>62</v>
      </c>
      <c r="H80" s="110" t="s">
        <v>47</v>
      </c>
      <c r="I80" s="110" t="s">
        <v>47</v>
      </c>
      <c r="J80" s="13">
        <v>5</v>
      </c>
      <c r="K80" s="13">
        <v>0</v>
      </c>
      <c r="L80" s="110" t="s">
        <v>48</v>
      </c>
      <c r="M80" s="110" t="s">
        <v>48</v>
      </c>
      <c r="N80" s="110" t="s">
        <v>48</v>
      </c>
      <c r="O80" s="13" t="s">
        <v>367</v>
      </c>
      <c r="P80" s="13"/>
      <c r="Q80" s="13" t="s">
        <v>379</v>
      </c>
      <c r="R80" s="13" t="s">
        <v>379</v>
      </c>
      <c r="S80" s="110" t="s">
        <v>47</v>
      </c>
      <c r="T80" s="110" t="s">
        <v>51</v>
      </c>
      <c r="U80" s="13"/>
      <c r="V80" s="110" t="s">
        <v>52</v>
      </c>
      <c r="W80" s="110" t="s">
        <v>53</v>
      </c>
      <c r="X80" s="110" t="s">
        <v>47</v>
      </c>
      <c r="Y80" s="110" t="s">
        <v>54</v>
      </c>
      <c r="Z80" s="110" t="s">
        <v>55</v>
      </c>
      <c r="AA80" s="110" t="s">
        <v>56</v>
      </c>
      <c r="AB80" s="110" t="s">
        <v>47</v>
      </c>
      <c r="AC80" s="110" t="s">
        <v>47</v>
      </c>
      <c r="AD80" s="110" t="s">
        <v>47</v>
      </c>
      <c r="AE80" s="110" t="s">
        <v>47</v>
      </c>
      <c r="AF80" s="13"/>
      <c r="AG80" s="13" t="s">
        <v>57</v>
      </c>
      <c r="AH80" s="13" t="s">
        <v>58</v>
      </c>
      <c r="AI80" s="13" t="s">
        <v>59</v>
      </c>
      <c r="AJ80" s="13"/>
      <c r="AK80" s="13" t="s">
        <v>57</v>
      </c>
      <c r="AL80" s="13" t="s">
        <v>58</v>
      </c>
      <c r="AM80" s="13" t="s">
        <v>59</v>
      </c>
      <c r="AN80" s="13"/>
      <c r="AO80" s="110" t="s">
        <v>57</v>
      </c>
      <c r="AP80" s="110" t="s">
        <v>60</v>
      </c>
      <c r="AQ80" s="13">
        <v>0</v>
      </c>
      <c r="AR80" s="13">
        <v>10.8116</v>
      </c>
      <c r="AS80" s="18"/>
    </row>
    <row r="81" spans="1:45">
      <c r="A81" s="117" t="s">
        <v>212</v>
      </c>
      <c r="B81" s="103" t="s">
        <v>212</v>
      </c>
      <c r="C81" s="109" t="s">
        <v>409</v>
      </c>
      <c r="D81" s="111" t="s">
        <v>44</v>
      </c>
      <c r="E81" s="109" t="s">
        <v>44</v>
      </c>
      <c r="F81" s="111" t="s">
        <v>45</v>
      </c>
      <c r="G81" s="111" t="s">
        <v>62</v>
      </c>
      <c r="H81" s="111" t="s">
        <v>47</v>
      </c>
      <c r="I81" s="111" t="s">
        <v>47</v>
      </c>
      <c r="J81" s="14">
        <v>1</v>
      </c>
      <c r="K81" s="14">
        <v>0</v>
      </c>
      <c r="L81" s="111" t="s">
        <v>48</v>
      </c>
      <c r="M81" s="111" t="s">
        <v>48</v>
      </c>
      <c r="N81" s="111" t="s">
        <v>48</v>
      </c>
      <c r="O81" s="14" t="s">
        <v>367</v>
      </c>
      <c r="P81" s="14"/>
      <c r="Q81" s="14" t="s">
        <v>379</v>
      </c>
      <c r="R81" s="14" t="s">
        <v>379</v>
      </c>
      <c r="S81" s="111" t="s">
        <v>47</v>
      </c>
      <c r="T81" s="111" t="s">
        <v>51</v>
      </c>
      <c r="U81" s="14"/>
      <c r="V81" s="111" t="s">
        <v>52</v>
      </c>
      <c r="W81" s="111" t="s">
        <v>53</v>
      </c>
      <c r="X81" s="111" t="s">
        <v>47</v>
      </c>
      <c r="Y81" s="111" t="s">
        <v>54</v>
      </c>
      <c r="Z81" s="111" t="s">
        <v>55</v>
      </c>
      <c r="AA81" s="111" t="s">
        <v>56</v>
      </c>
      <c r="AB81" s="111" t="s">
        <v>47</v>
      </c>
      <c r="AC81" s="111" t="s">
        <v>47</v>
      </c>
      <c r="AD81" s="111" t="s">
        <v>47</v>
      </c>
      <c r="AE81" s="111" t="s">
        <v>47</v>
      </c>
      <c r="AF81" s="14"/>
      <c r="AG81" s="14" t="s">
        <v>57</v>
      </c>
      <c r="AH81" s="14" t="s">
        <v>58</v>
      </c>
      <c r="AI81" s="14" t="s">
        <v>59</v>
      </c>
      <c r="AJ81" s="14"/>
      <c r="AK81" s="14" t="s">
        <v>57</v>
      </c>
      <c r="AL81" s="14" t="s">
        <v>58</v>
      </c>
      <c r="AM81" s="14" t="s">
        <v>59</v>
      </c>
      <c r="AN81" s="14"/>
      <c r="AO81" s="111" t="s">
        <v>57</v>
      </c>
      <c r="AP81" s="111" t="s">
        <v>60</v>
      </c>
      <c r="AQ81" s="14">
        <v>0</v>
      </c>
      <c r="AR81" s="14">
        <v>10.8116</v>
      </c>
      <c r="AS81" s="19"/>
    </row>
    <row r="82" spans="1:45">
      <c r="A82" s="117" t="s">
        <v>213</v>
      </c>
      <c r="B82" s="102" t="s">
        <v>213</v>
      </c>
      <c r="C82" s="109" t="s">
        <v>410</v>
      </c>
      <c r="D82" s="110" t="s">
        <v>44</v>
      </c>
      <c r="E82" s="109" t="s">
        <v>44</v>
      </c>
      <c r="F82" s="110" t="s">
        <v>45</v>
      </c>
      <c r="G82" s="110" t="s">
        <v>62</v>
      </c>
      <c r="H82" s="110" t="s">
        <v>47</v>
      </c>
      <c r="I82" s="110" t="s">
        <v>47</v>
      </c>
      <c r="J82" s="13">
        <v>2</v>
      </c>
      <c r="K82" s="13">
        <v>0</v>
      </c>
      <c r="L82" s="110" t="s">
        <v>48</v>
      </c>
      <c r="M82" s="110" t="s">
        <v>48</v>
      </c>
      <c r="N82" s="110" t="s">
        <v>48</v>
      </c>
      <c r="O82" s="13" t="s">
        <v>367</v>
      </c>
      <c r="P82" s="13"/>
      <c r="Q82" s="13" t="s">
        <v>379</v>
      </c>
      <c r="R82" s="13" t="s">
        <v>379</v>
      </c>
      <c r="S82" s="110" t="s">
        <v>47</v>
      </c>
      <c r="T82" s="110" t="s">
        <v>51</v>
      </c>
      <c r="U82" s="13"/>
      <c r="V82" s="110" t="s">
        <v>52</v>
      </c>
      <c r="W82" s="110" t="s">
        <v>53</v>
      </c>
      <c r="X82" s="110" t="s">
        <v>47</v>
      </c>
      <c r="Y82" s="110" t="s">
        <v>54</v>
      </c>
      <c r="Z82" s="110" t="s">
        <v>55</v>
      </c>
      <c r="AA82" s="110" t="s">
        <v>56</v>
      </c>
      <c r="AB82" s="110" t="s">
        <v>47</v>
      </c>
      <c r="AC82" s="110" t="s">
        <v>47</v>
      </c>
      <c r="AD82" s="110" t="s">
        <v>47</v>
      </c>
      <c r="AE82" s="110" t="s">
        <v>47</v>
      </c>
      <c r="AF82" s="13"/>
      <c r="AG82" s="13" t="s">
        <v>57</v>
      </c>
      <c r="AH82" s="13" t="s">
        <v>58</v>
      </c>
      <c r="AI82" s="13" t="s">
        <v>59</v>
      </c>
      <c r="AJ82" s="13"/>
      <c r="AK82" s="13" t="s">
        <v>57</v>
      </c>
      <c r="AL82" s="13" t="s">
        <v>58</v>
      </c>
      <c r="AM82" s="13" t="s">
        <v>59</v>
      </c>
      <c r="AN82" s="13"/>
      <c r="AO82" s="110" t="s">
        <v>57</v>
      </c>
      <c r="AP82" s="110" t="s">
        <v>60</v>
      </c>
      <c r="AQ82" s="13">
        <v>0</v>
      </c>
      <c r="AR82" s="13">
        <v>7.0772000000000004</v>
      </c>
      <c r="AS82" s="18"/>
    </row>
    <row r="83" spans="1:45">
      <c r="A83" s="117" t="s">
        <v>214</v>
      </c>
      <c r="B83" s="103" t="s">
        <v>214</v>
      </c>
      <c r="C83" s="109" t="s">
        <v>411</v>
      </c>
      <c r="D83" s="111" t="s">
        <v>44</v>
      </c>
      <c r="E83" s="111" t="s">
        <v>44</v>
      </c>
      <c r="F83" s="111" t="s">
        <v>45</v>
      </c>
      <c r="G83" s="111" t="s">
        <v>62</v>
      </c>
      <c r="H83" s="111" t="s">
        <v>47</v>
      </c>
      <c r="I83" s="111" t="s">
        <v>47</v>
      </c>
      <c r="J83" s="14">
        <v>5</v>
      </c>
      <c r="K83" s="14">
        <v>0</v>
      </c>
      <c r="L83" s="111" t="s">
        <v>48</v>
      </c>
      <c r="M83" s="111" t="s">
        <v>48</v>
      </c>
      <c r="N83" s="111" t="s">
        <v>48</v>
      </c>
      <c r="O83" s="14" t="s">
        <v>367</v>
      </c>
      <c r="P83" s="14"/>
      <c r="Q83" s="14" t="s">
        <v>379</v>
      </c>
      <c r="R83" s="14" t="s">
        <v>379</v>
      </c>
      <c r="S83" s="111" t="s">
        <v>47</v>
      </c>
      <c r="T83" s="111" t="s">
        <v>51</v>
      </c>
      <c r="U83" s="14"/>
      <c r="V83" s="111" t="s">
        <v>52</v>
      </c>
      <c r="W83" s="111" t="s">
        <v>53</v>
      </c>
      <c r="X83" s="111" t="s">
        <v>47</v>
      </c>
      <c r="Y83" s="111" t="s">
        <v>54</v>
      </c>
      <c r="Z83" s="111" t="s">
        <v>55</v>
      </c>
      <c r="AA83" s="111" t="s">
        <v>56</v>
      </c>
      <c r="AB83" s="111" t="s">
        <v>47</v>
      </c>
      <c r="AC83" s="111" t="s">
        <v>47</v>
      </c>
      <c r="AD83" s="111" t="s">
        <v>47</v>
      </c>
      <c r="AE83" s="111" t="s">
        <v>47</v>
      </c>
      <c r="AF83" s="14"/>
      <c r="AG83" s="14" t="s">
        <v>57</v>
      </c>
      <c r="AH83" s="14" t="s">
        <v>58</v>
      </c>
      <c r="AI83" s="14" t="s">
        <v>59</v>
      </c>
      <c r="AJ83" s="14"/>
      <c r="AK83" s="14" t="s">
        <v>57</v>
      </c>
      <c r="AL83" s="14" t="s">
        <v>58</v>
      </c>
      <c r="AM83" s="14" t="s">
        <v>59</v>
      </c>
      <c r="AN83" s="14"/>
      <c r="AO83" s="111" t="s">
        <v>57</v>
      </c>
      <c r="AP83" s="111" t="s">
        <v>60</v>
      </c>
      <c r="AQ83" s="14">
        <v>0</v>
      </c>
      <c r="AR83" s="14">
        <v>7.0772000000000004</v>
      </c>
      <c r="AS83" s="19"/>
    </row>
    <row r="84" spans="1:45">
      <c r="A84" s="117" t="s">
        <v>215</v>
      </c>
      <c r="B84" s="102" t="s">
        <v>215</v>
      </c>
      <c r="C84" s="109" t="s">
        <v>412</v>
      </c>
      <c r="D84" s="110" t="s">
        <v>44</v>
      </c>
      <c r="E84" s="109" t="s">
        <v>44</v>
      </c>
      <c r="F84" s="110" t="s">
        <v>45</v>
      </c>
      <c r="G84" s="109" t="s">
        <v>62</v>
      </c>
      <c r="H84" s="110" t="s">
        <v>47</v>
      </c>
      <c r="I84" s="110" t="s">
        <v>47</v>
      </c>
      <c r="J84" s="13">
        <v>10</v>
      </c>
      <c r="K84" s="13">
        <v>0</v>
      </c>
      <c r="L84" s="110" t="s">
        <v>48</v>
      </c>
      <c r="M84" s="110" t="s">
        <v>48</v>
      </c>
      <c r="N84" s="110" t="s">
        <v>48</v>
      </c>
      <c r="O84" s="13" t="s">
        <v>367</v>
      </c>
      <c r="P84" s="13"/>
      <c r="Q84" s="13" t="s">
        <v>379</v>
      </c>
      <c r="R84" s="13" t="s">
        <v>379</v>
      </c>
      <c r="S84" s="110" t="s">
        <v>47</v>
      </c>
      <c r="T84" s="110" t="s">
        <v>51</v>
      </c>
      <c r="U84" s="13"/>
      <c r="V84" s="110" t="s">
        <v>52</v>
      </c>
      <c r="W84" s="110" t="s">
        <v>53</v>
      </c>
      <c r="X84" s="110" t="s">
        <v>47</v>
      </c>
      <c r="Y84" s="110" t="s">
        <v>54</v>
      </c>
      <c r="Z84" s="110" t="s">
        <v>55</v>
      </c>
      <c r="AA84" s="110" t="s">
        <v>56</v>
      </c>
      <c r="AB84" s="110" t="s">
        <v>47</v>
      </c>
      <c r="AC84" s="110" t="s">
        <v>47</v>
      </c>
      <c r="AD84" s="110" t="s">
        <v>47</v>
      </c>
      <c r="AE84" s="110" t="s">
        <v>47</v>
      </c>
      <c r="AF84" s="13"/>
      <c r="AG84" s="13" t="s">
        <v>57</v>
      </c>
      <c r="AH84" s="13" t="s">
        <v>58</v>
      </c>
      <c r="AI84" s="13" t="s">
        <v>59</v>
      </c>
      <c r="AJ84" s="13"/>
      <c r="AK84" s="13" t="s">
        <v>57</v>
      </c>
      <c r="AL84" s="13" t="s">
        <v>58</v>
      </c>
      <c r="AM84" s="13" t="s">
        <v>59</v>
      </c>
      <c r="AN84" s="13"/>
      <c r="AO84" s="110" t="s">
        <v>57</v>
      </c>
      <c r="AP84" s="110" t="s">
        <v>60</v>
      </c>
      <c r="AQ84" s="13">
        <v>0</v>
      </c>
      <c r="AR84" s="13">
        <v>7.0772000000000004</v>
      </c>
      <c r="AS84" s="18"/>
    </row>
    <row r="85" spans="1:45">
      <c r="A85" s="117" t="s">
        <v>216</v>
      </c>
      <c r="B85" s="103" t="s">
        <v>216</v>
      </c>
      <c r="C85" s="109" t="s">
        <v>413</v>
      </c>
      <c r="D85" s="111" t="s">
        <v>44</v>
      </c>
      <c r="E85" s="111" t="s">
        <v>44</v>
      </c>
      <c r="F85" s="111" t="s">
        <v>45</v>
      </c>
      <c r="G85" s="111" t="s">
        <v>62</v>
      </c>
      <c r="H85" s="111" t="s">
        <v>47</v>
      </c>
      <c r="I85" s="111" t="s">
        <v>47</v>
      </c>
      <c r="J85" s="14">
        <v>2</v>
      </c>
      <c r="K85" s="14">
        <v>0</v>
      </c>
      <c r="L85" s="111" t="s">
        <v>48</v>
      </c>
      <c r="M85" s="111" t="s">
        <v>48</v>
      </c>
      <c r="N85" s="111" t="s">
        <v>48</v>
      </c>
      <c r="O85" s="14" t="s">
        <v>367</v>
      </c>
      <c r="P85" s="14"/>
      <c r="Q85" s="14" t="s">
        <v>379</v>
      </c>
      <c r="R85" s="14" t="s">
        <v>379</v>
      </c>
      <c r="S85" s="111" t="s">
        <v>47</v>
      </c>
      <c r="T85" s="111" t="s">
        <v>51</v>
      </c>
      <c r="U85" s="14"/>
      <c r="V85" s="111" t="s">
        <v>52</v>
      </c>
      <c r="W85" s="111" t="s">
        <v>53</v>
      </c>
      <c r="X85" s="111" t="s">
        <v>47</v>
      </c>
      <c r="Y85" s="111" t="s">
        <v>54</v>
      </c>
      <c r="Z85" s="111" t="s">
        <v>55</v>
      </c>
      <c r="AA85" s="111" t="s">
        <v>56</v>
      </c>
      <c r="AB85" s="111" t="s">
        <v>47</v>
      </c>
      <c r="AC85" s="111" t="s">
        <v>47</v>
      </c>
      <c r="AD85" s="111" t="s">
        <v>47</v>
      </c>
      <c r="AE85" s="111" t="s">
        <v>47</v>
      </c>
      <c r="AF85" s="14"/>
      <c r="AG85" s="14" t="s">
        <v>57</v>
      </c>
      <c r="AH85" s="14" t="s">
        <v>58</v>
      </c>
      <c r="AI85" s="14" t="s">
        <v>59</v>
      </c>
      <c r="AJ85" s="14"/>
      <c r="AK85" s="14" t="s">
        <v>57</v>
      </c>
      <c r="AL85" s="14" t="s">
        <v>58</v>
      </c>
      <c r="AM85" s="14" t="s">
        <v>59</v>
      </c>
      <c r="AN85" s="14"/>
      <c r="AO85" s="111" t="s">
        <v>57</v>
      </c>
      <c r="AP85" s="111" t="s">
        <v>60</v>
      </c>
      <c r="AQ85" s="14">
        <v>0</v>
      </c>
      <c r="AR85" s="14">
        <v>5.4691999999999998</v>
      </c>
      <c r="AS85" s="19"/>
    </row>
    <row r="86" spans="1:45">
      <c r="A86" s="117" t="s">
        <v>217</v>
      </c>
      <c r="B86" s="102" t="s">
        <v>217</v>
      </c>
      <c r="C86" s="109" t="s">
        <v>414</v>
      </c>
      <c r="D86" s="110" t="s">
        <v>44</v>
      </c>
      <c r="E86" s="109" t="s">
        <v>44</v>
      </c>
      <c r="F86" s="110" t="s">
        <v>45</v>
      </c>
      <c r="G86" s="109" t="s">
        <v>62</v>
      </c>
      <c r="H86" s="110" t="s">
        <v>47</v>
      </c>
      <c r="I86" s="110" t="s">
        <v>47</v>
      </c>
      <c r="J86" s="13">
        <v>5</v>
      </c>
      <c r="K86" s="13">
        <v>0</v>
      </c>
      <c r="L86" s="110" t="s">
        <v>48</v>
      </c>
      <c r="M86" s="110" t="s">
        <v>48</v>
      </c>
      <c r="N86" s="110" t="s">
        <v>48</v>
      </c>
      <c r="O86" s="13" t="s">
        <v>367</v>
      </c>
      <c r="P86" s="13"/>
      <c r="Q86" s="13" t="s">
        <v>379</v>
      </c>
      <c r="R86" s="13" t="s">
        <v>379</v>
      </c>
      <c r="S86" s="110" t="s">
        <v>47</v>
      </c>
      <c r="T86" s="110" t="s">
        <v>51</v>
      </c>
      <c r="U86" s="13"/>
      <c r="V86" s="110" t="s">
        <v>52</v>
      </c>
      <c r="W86" s="110" t="s">
        <v>53</v>
      </c>
      <c r="X86" s="110" t="s">
        <v>47</v>
      </c>
      <c r="Y86" s="110" t="s">
        <v>54</v>
      </c>
      <c r="Z86" s="110" t="s">
        <v>55</v>
      </c>
      <c r="AA86" s="110" t="s">
        <v>56</v>
      </c>
      <c r="AB86" s="110" t="s">
        <v>47</v>
      </c>
      <c r="AC86" s="110" t="s">
        <v>47</v>
      </c>
      <c r="AD86" s="110" t="s">
        <v>47</v>
      </c>
      <c r="AE86" s="110" t="s">
        <v>47</v>
      </c>
      <c r="AF86" s="13"/>
      <c r="AG86" s="13" t="s">
        <v>57</v>
      </c>
      <c r="AH86" s="13" t="s">
        <v>58</v>
      </c>
      <c r="AI86" s="13" t="s">
        <v>59</v>
      </c>
      <c r="AJ86" s="13"/>
      <c r="AK86" s="13" t="s">
        <v>57</v>
      </c>
      <c r="AL86" s="13" t="s">
        <v>58</v>
      </c>
      <c r="AM86" s="13" t="s">
        <v>59</v>
      </c>
      <c r="AN86" s="13"/>
      <c r="AO86" s="110" t="s">
        <v>57</v>
      </c>
      <c r="AP86" s="110" t="s">
        <v>60</v>
      </c>
      <c r="AQ86" s="13">
        <v>0</v>
      </c>
      <c r="AR86" s="13">
        <v>5.4691999999999998</v>
      </c>
      <c r="AS86" s="18"/>
    </row>
    <row r="87" spans="1:45">
      <c r="A87" s="117" t="s">
        <v>218</v>
      </c>
      <c r="B87" s="103" t="s">
        <v>218</v>
      </c>
      <c r="C87" s="109" t="s">
        <v>415</v>
      </c>
      <c r="D87" s="111" t="s">
        <v>44</v>
      </c>
      <c r="E87" s="109" t="s">
        <v>44</v>
      </c>
      <c r="F87" s="111" t="s">
        <v>45</v>
      </c>
      <c r="G87" s="109" t="s">
        <v>62</v>
      </c>
      <c r="H87" s="111" t="s">
        <v>47</v>
      </c>
      <c r="I87" s="111" t="s">
        <v>47</v>
      </c>
      <c r="J87" s="14">
        <v>10</v>
      </c>
      <c r="K87" s="14">
        <v>0</v>
      </c>
      <c r="L87" s="111" t="s">
        <v>48</v>
      </c>
      <c r="M87" s="111" t="s">
        <v>48</v>
      </c>
      <c r="N87" s="111" t="s">
        <v>48</v>
      </c>
      <c r="O87" s="14" t="s">
        <v>367</v>
      </c>
      <c r="P87" s="14"/>
      <c r="Q87" s="14" t="s">
        <v>379</v>
      </c>
      <c r="R87" s="14" t="s">
        <v>379</v>
      </c>
      <c r="S87" s="111" t="s">
        <v>47</v>
      </c>
      <c r="T87" s="111" t="s">
        <v>51</v>
      </c>
      <c r="U87" s="14"/>
      <c r="V87" s="111" t="s">
        <v>52</v>
      </c>
      <c r="W87" s="111" t="s">
        <v>53</v>
      </c>
      <c r="X87" s="111" t="s">
        <v>47</v>
      </c>
      <c r="Y87" s="111" t="s">
        <v>54</v>
      </c>
      <c r="Z87" s="111" t="s">
        <v>55</v>
      </c>
      <c r="AA87" s="111" t="s">
        <v>56</v>
      </c>
      <c r="AB87" s="111" t="s">
        <v>47</v>
      </c>
      <c r="AC87" s="111" t="s">
        <v>47</v>
      </c>
      <c r="AD87" s="111" t="s">
        <v>47</v>
      </c>
      <c r="AE87" s="111" t="s">
        <v>47</v>
      </c>
      <c r="AF87" s="14"/>
      <c r="AG87" s="14" t="s">
        <v>57</v>
      </c>
      <c r="AH87" s="14" t="s">
        <v>58</v>
      </c>
      <c r="AI87" s="14" t="s">
        <v>59</v>
      </c>
      <c r="AJ87" s="14"/>
      <c r="AK87" s="14" t="s">
        <v>57</v>
      </c>
      <c r="AL87" s="14" t="s">
        <v>58</v>
      </c>
      <c r="AM87" s="14" t="s">
        <v>59</v>
      </c>
      <c r="AN87" s="14"/>
      <c r="AO87" s="111" t="s">
        <v>57</v>
      </c>
      <c r="AP87" s="111" t="s">
        <v>60</v>
      </c>
      <c r="AQ87" s="14">
        <v>0</v>
      </c>
      <c r="AR87" s="14">
        <v>5.4691999999999998</v>
      </c>
      <c r="AS87" s="19"/>
    </row>
    <row r="88" spans="1:45">
      <c r="A88" s="117" t="s">
        <v>219</v>
      </c>
      <c r="B88" s="102" t="s">
        <v>219</v>
      </c>
      <c r="C88" s="110" t="s">
        <v>416</v>
      </c>
      <c r="D88" s="110" t="s">
        <v>44</v>
      </c>
      <c r="E88" s="110" t="s">
        <v>44</v>
      </c>
      <c r="F88" s="110" t="s">
        <v>45</v>
      </c>
      <c r="G88" s="110" t="s">
        <v>62</v>
      </c>
      <c r="H88" s="110" t="s">
        <v>47</v>
      </c>
      <c r="I88" s="110" t="s">
        <v>47</v>
      </c>
      <c r="J88" s="13">
        <v>5</v>
      </c>
      <c r="K88" s="13">
        <v>0</v>
      </c>
      <c r="L88" s="110" t="s">
        <v>48</v>
      </c>
      <c r="M88" s="110" t="s">
        <v>48</v>
      </c>
      <c r="N88" s="110" t="s">
        <v>48</v>
      </c>
      <c r="O88" s="13" t="s">
        <v>367</v>
      </c>
      <c r="P88" s="13"/>
      <c r="Q88" s="13" t="s">
        <v>379</v>
      </c>
      <c r="R88" s="13" t="s">
        <v>379</v>
      </c>
      <c r="S88" s="110" t="s">
        <v>47</v>
      </c>
      <c r="T88" s="110" t="s">
        <v>51</v>
      </c>
      <c r="U88" s="13"/>
      <c r="V88" s="110" t="s">
        <v>52</v>
      </c>
      <c r="W88" s="110" t="s">
        <v>53</v>
      </c>
      <c r="X88" s="110" t="s">
        <v>47</v>
      </c>
      <c r="Y88" s="110" t="s">
        <v>54</v>
      </c>
      <c r="Z88" s="110" t="s">
        <v>55</v>
      </c>
      <c r="AA88" s="110" t="s">
        <v>56</v>
      </c>
      <c r="AB88" s="110" t="s">
        <v>47</v>
      </c>
      <c r="AC88" s="110" t="s">
        <v>47</v>
      </c>
      <c r="AD88" s="110" t="s">
        <v>47</v>
      </c>
      <c r="AE88" s="110" t="s">
        <v>47</v>
      </c>
      <c r="AF88" s="13"/>
      <c r="AG88" s="13" t="s">
        <v>57</v>
      </c>
      <c r="AH88" s="13" t="s">
        <v>58</v>
      </c>
      <c r="AI88" s="13" t="s">
        <v>59</v>
      </c>
      <c r="AJ88" s="13"/>
      <c r="AK88" s="13" t="s">
        <v>57</v>
      </c>
      <c r="AL88" s="13" t="s">
        <v>58</v>
      </c>
      <c r="AM88" s="13" t="s">
        <v>59</v>
      </c>
      <c r="AN88" s="13"/>
      <c r="AO88" s="110" t="s">
        <v>57</v>
      </c>
      <c r="AP88" s="110" t="s">
        <v>60</v>
      </c>
      <c r="AQ88" s="13">
        <v>0</v>
      </c>
      <c r="AR88" s="13">
        <v>7.6</v>
      </c>
      <c r="AS88" s="18"/>
    </row>
    <row r="89" spans="1:45">
      <c r="A89" s="117" t="s">
        <v>324</v>
      </c>
      <c r="B89" s="103" t="s">
        <v>220</v>
      </c>
      <c r="C89" s="111" t="s">
        <v>221</v>
      </c>
      <c r="D89" s="111" t="s">
        <v>66</v>
      </c>
      <c r="E89" s="111" t="s">
        <v>66</v>
      </c>
      <c r="F89" s="111" t="s">
        <v>45</v>
      </c>
      <c r="G89" s="111" t="s">
        <v>67</v>
      </c>
      <c r="H89" s="111" t="s">
        <v>47</v>
      </c>
      <c r="I89" s="111" t="s">
        <v>47</v>
      </c>
      <c r="J89" s="14">
        <v>1</v>
      </c>
      <c r="K89" s="14">
        <v>0</v>
      </c>
      <c r="L89" s="111" t="s">
        <v>371</v>
      </c>
      <c r="M89" s="111" t="s">
        <v>69</v>
      </c>
      <c r="N89" s="111" t="s">
        <v>372</v>
      </c>
      <c r="O89" s="14" t="s">
        <v>373</v>
      </c>
      <c r="P89" s="14">
        <v>220</v>
      </c>
      <c r="Q89" s="14" t="s">
        <v>368</v>
      </c>
      <c r="R89" s="14" t="s">
        <v>368</v>
      </c>
      <c r="S89" s="111" t="s">
        <v>47</v>
      </c>
      <c r="T89" s="111" t="s">
        <v>51</v>
      </c>
      <c r="U89" s="14"/>
      <c r="V89" s="111" t="s">
        <v>52</v>
      </c>
      <c r="W89" s="111" t="s">
        <v>72</v>
      </c>
      <c r="X89" s="111" t="s">
        <v>47</v>
      </c>
      <c r="Y89" s="111" t="s">
        <v>54</v>
      </c>
      <c r="Z89" s="111" t="s">
        <v>55</v>
      </c>
      <c r="AA89" s="111" t="s">
        <v>56</v>
      </c>
      <c r="AB89" s="111" t="s">
        <v>47</v>
      </c>
      <c r="AC89" s="111" t="s">
        <v>47</v>
      </c>
      <c r="AD89" s="111" t="s">
        <v>47</v>
      </c>
      <c r="AE89" s="111" t="s">
        <v>47</v>
      </c>
      <c r="AF89" s="14"/>
      <c r="AG89" s="14" t="s">
        <v>73</v>
      </c>
      <c r="AH89" s="14" t="s">
        <v>74</v>
      </c>
      <c r="AI89" s="14" t="s">
        <v>59</v>
      </c>
      <c r="AJ89" s="14"/>
      <c r="AK89" s="14" t="s">
        <v>73</v>
      </c>
      <c r="AL89" s="14" t="s">
        <v>74</v>
      </c>
      <c r="AM89" s="14" t="s">
        <v>59</v>
      </c>
      <c r="AN89" s="14"/>
      <c r="AO89" s="111" t="s">
        <v>73</v>
      </c>
      <c r="AP89" s="111" t="s">
        <v>60</v>
      </c>
      <c r="AQ89" s="14">
        <v>0</v>
      </c>
      <c r="AR89" s="14">
        <v>3.72</v>
      </c>
      <c r="AS89" s="19"/>
    </row>
    <row r="90" spans="1:45">
      <c r="A90" s="117" t="s">
        <v>325</v>
      </c>
      <c r="B90" s="102" t="s">
        <v>222</v>
      </c>
      <c r="C90" s="110" t="s">
        <v>223</v>
      </c>
      <c r="D90" s="110" t="s">
        <v>66</v>
      </c>
      <c r="E90" s="110" t="s">
        <v>66</v>
      </c>
      <c r="F90" s="110" t="s">
        <v>45</v>
      </c>
      <c r="G90" s="110" t="s">
        <v>67</v>
      </c>
      <c r="H90" s="110" t="s">
        <v>47</v>
      </c>
      <c r="I90" s="110" t="s">
        <v>47</v>
      </c>
      <c r="J90" s="13">
        <v>1</v>
      </c>
      <c r="K90" s="13">
        <v>0</v>
      </c>
      <c r="L90" s="110" t="s">
        <v>371</v>
      </c>
      <c r="M90" s="110" t="s">
        <v>69</v>
      </c>
      <c r="N90" s="110" t="s">
        <v>372</v>
      </c>
      <c r="O90" s="13" t="s">
        <v>373</v>
      </c>
      <c r="P90" s="13">
        <v>220</v>
      </c>
      <c r="Q90" s="13" t="s">
        <v>368</v>
      </c>
      <c r="R90" s="13" t="s">
        <v>368</v>
      </c>
      <c r="S90" s="110" t="s">
        <v>47</v>
      </c>
      <c r="T90" s="110" t="s">
        <v>51</v>
      </c>
      <c r="U90" s="13"/>
      <c r="V90" s="110" t="s">
        <v>52</v>
      </c>
      <c r="W90" s="110" t="s">
        <v>72</v>
      </c>
      <c r="X90" s="110" t="s">
        <v>47</v>
      </c>
      <c r="Y90" s="110" t="s">
        <v>54</v>
      </c>
      <c r="Z90" s="110" t="s">
        <v>55</v>
      </c>
      <c r="AA90" s="110" t="s">
        <v>56</v>
      </c>
      <c r="AB90" s="110" t="s">
        <v>47</v>
      </c>
      <c r="AC90" s="110" t="s">
        <v>47</v>
      </c>
      <c r="AD90" s="110" t="s">
        <v>47</v>
      </c>
      <c r="AE90" s="110" t="s">
        <v>47</v>
      </c>
      <c r="AF90" s="13"/>
      <c r="AG90" s="13" t="s">
        <v>73</v>
      </c>
      <c r="AH90" s="13" t="s">
        <v>74</v>
      </c>
      <c r="AI90" s="13" t="s">
        <v>59</v>
      </c>
      <c r="AJ90" s="13"/>
      <c r="AK90" s="13" t="s">
        <v>73</v>
      </c>
      <c r="AL90" s="13" t="s">
        <v>74</v>
      </c>
      <c r="AM90" s="13" t="s">
        <v>59</v>
      </c>
      <c r="AN90" s="13"/>
      <c r="AO90" s="110" t="s">
        <v>73</v>
      </c>
      <c r="AP90" s="110" t="s">
        <v>60</v>
      </c>
      <c r="AQ90" s="13">
        <v>0</v>
      </c>
      <c r="AR90" s="13">
        <v>2.65</v>
      </c>
      <c r="AS90" s="18"/>
    </row>
    <row r="91" spans="1:45">
      <c r="A91" s="117" t="s">
        <v>224</v>
      </c>
      <c r="B91" s="103" t="s">
        <v>224</v>
      </c>
      <c r="C91" s="109" t="s">
        <v>417</v>
      </c>
      <c r="D91" s="111" t="s">
        <v>44</v>
      </c>
      <c r="E91" s="109" t="s">
        <v>44</v>
      </c>
      <c r="F91" s="111" t="s">
        <v>45</v>
      </c>
      <c r="G91" s="109" t="s">
        <v>62</v>
      </c>
      <c r="H91" s="111" t="s">
        <v>47</v>
      </c>
      <c r="I91" s="111" t="s">
        <v>47</v>
      </c>
      <c r="J91" s="14">
        <v>10</v>
      </c>
      <c r="K91" s="14">
        <v>0</v>
      </c>
      <c r="L91" s="111" t="s">
        <v>48</v>
      </c>
      <c r="M91" s="111" t="s">
        <v>48</v>
      </c>
      <c r="N91" s="111" t="s">
        <v>48</v>
      </c>
      <c r="O91" s="14" t="s">
        <v>367</v>
      </c>
      <c r="P91" s="14"/>
      <c r="Q91" s="14" t="s">
        <v>379</v>
      </c>
      <c r="R91" s="14" t="s">
        <v>379</v>
      </c>
      <c r="S91" s="111" t="s">
        <v>47</v>
      </c>
      <c r="T91" s="111" t="s">
        <v>51</v>
      </c>
      <c r="U91" s="14"/>
      <c r="V91" s="111" t="s">
        <v>52</v>
      </c>
      <c r="W91" s="111" t="s">
        <v>53</v>
      </c>
      <c r="X91" s="111" t="s">
        <v>47</v>
      </c>
      <c r="Y91" s="111" t="s">
        <v>54</v>
      </c>
      <c r="Z91" s="111" t="s">
        <v>55</v>
      </c>
      <c r="AA91" s="111" t="s">
        <v>56</v>
      </c>
      <c r="AB91" s="111" t="s">
        <v>47</v>
      </c>
      <c r="AC91" s="111" t="s">
        <v>47</v>
      </c>
      <c r="AD91" s="111" t="s">
        <v>47</v>
      </c>
      <c r="AE91" s="111" t="s">
        <v>47</v>
      </c>
      <c r="AF91" s="14"/>
      <c r="AG91" s="14" t="s">
        <v>57</v>
      </c>
      <c r="AH91" s="14" t="s">
        <v>58</v>
      </c>
      <c r="AI91" s="14" t="s">
        <v>59</v>
      </c>
      <c r="AJ91" s="14"/>
      <c r="AK91" s="14" t="s">
        <v>57</v>
      </c>
      <c r="AL91" s="14" t="s">
        <v>58</v>
      </c>
      <c r="AM91" s="14" t="s">
        <v>59</v>
      </c>
      <c r="AN91" s="14"/>
      <c r="AO91" s="111" t="s">
        <v>57</v>
      </c>
      <c r="AP91" s="111" t="s">
        <v>60</v>
      </c>
      <c r="AQ91" s="14">
        <v>0</v>
      </c>
      <c r="AR91" s="14">
        <v>4.0662000000000003</v>
      </c>
      <c r="AS91" s="19"/>
    </row>
    <row r="92" spans="1:45">
      <c r="A92" s="117" t="s">
        <v>225</v>
      </c>
      <c r="B92" s="102" t="s">
        <v>225</v>
      </c>
      <c r="C92" s="109" t="s">
        <v>418</v>
      </c>
      <c r="D92" s="110" t="s">
        <v>44</v>
      </c>
      <c r="E92" s="110" t="s">
        <v>44</v>
      </c>
      <c r="F92" s="110" t="s">
        <v>45</v>
      </c>
      <c r="G92" s="110" t="s">
        <v>62</v>
      </c>
      <c r="H92" s="110" t="s">
        <v>47</v>
      </c>
      <c r="I92" s="110" t="s">
        <v>47</v>
      </c>
      <c r="J92" s="13">
        <v>10</v>
      </c>
      <c r="K92" s="13">
        <v>0</v>
      </c>
      <c r="L92" s="110" t="s">
        <v>48</v>
      </c>
      <c r="M92" s="110" t="s">
        <v>48</v>
      </c>
      <c r="N92" s="110" t="s">
        <v>48</v>
      </c>
      <c r="O92" s="13" t="s">
        <v>367</v>
      </c>
      <c r="P92" s="13"/>
      <c r="Q92" s="13" t="s">
        <v>374</v>
      </c>
      <c r="R92" s="13" t="s">
        <v>57</v>
      </c>
      <c r="S92" s="110" t="s">
        <v>47</v>
      </c>
      <c r="T92" s="110" t="s">
        <v>51</v>
      </c>
      <c r="U92" s="13"/>
      <c r="V92" s="110" t="s">
        <v>52</v>
      </c>
      <c r="W92" s="110" t="s">
        <v>53</v>
      </c>
      <c r="X92" s="110" t="s">
        <v>47</v>
      </c>
      <c r="Y92" s="110" t="s">
        <v>54</v>
      </c>
      <c r="Z92" s="110" t="s">
        <v>55</v>
      </c>
      <c r="AA92" s="110" t="s">
        <v>56</v>
      </c>
      <c r="AB92" s="110" t="s">
        <v>47</v>
      </c>
      <c r="AC92" s="110" t="s">
        <v>47</v>
      </c>
      <c r="AD92" s="110" t="s">
        <v>47</v>
      </c>
      <c r="AE92" s="110" t="s">
        <v>47</v>
      </c>
      <c r="AF92" s="13"/>
      <c r="AG92" s="13" t="s">
        <v>57</v>
      </c>
      <c r="AH92" s="13" t="s">
        <v>58</v>
      </c>
      <c r="AI92" s="13" t="s">
        <v>59</v>
      </c>
      <c r="AJ92" s="13"/>
      <c r="AK92" s="13" t="s">
        <v>57</v>
      </c>
      <c r="AL92" s="13" t="s">
        <v>58</v>
      </c>
      <c r="AM92" s="13" t="s">
        <v>59</v>
      </c>
      <c r="AN92" s="13"/>
      <c r="AO92" s="110" t="s">
        <v>57</v>
      </c>
      <c r="AP92" s="110" t="s">
        <v>60</v>
      </c>
      <c r="AQ92" s="13">
        <v>0</v>
      </c>
      <c r="AR92" s="13">
        <v>0.15</v>
      </c>
      <c r="AS92" s="18"/>
    </row>
    <row r="93" spans="1:45">
      <c r="A93" s="117" t="s">
        <v>226</v>
      </c>
      <c r="B93" s="103" t="s">
        <v>226</v>
      </c>
      <c r="C93" s="109" t="s">
        <v>419</v>
      </c>
      <c r="D93" s="111" t="s">
        <v>44</v>
      </c>
      <c r="E93" s="109" t="s">
        <v>44</v>
      </c>
      <c r="F93" s="111" t="s">
        <v>45</v>
      </c>
      <c r="G93" s="109" t="s">
        <v>62</v>
      </c>
      <c r="H93" s="111" t="s">
        <v>47</v>
      </c>
      <c r="I93" s="111" t="s">
        <v>47</v>
      </c>
      <c r="J93" s="14">
        <v>20</v>
      </c>
      <c r="K93" s="14">
        <v>0</v>
      </c>
      <c r="L93" s="111" t="s">
        <v>48</v>
      </c>
      <c r="M93" s="111" t="s">
        <v>48</v>
      </c>
      <c r="N93" s="111" t="s">
        <v>48</v>
      </c>
      <c r="O93" s="14" t="s">
        <v>367</v>
      </c>
      <c r="P93" s="14"/>
      <c r="Q93" s="14" t="s">
        <v>57</v>
      </c>
      <c r="R93" s="14" t="s">
        <v>57</v>
      </c>
      <c r="S93" s="111" t="s">
        <v>47</v>
      </c>
      <c r="T93" s="111" t="s">
        <v>51</v>
      </c>
      <c r="U93" s="14"/>
      <c r="V93" s="111" t="s">
        <v>52</v>
      </c>
      <c r="W93" s="111" t="s">
        <v>53</v>
      </c>
      <c r="X93" s="111" t="s">
        <v>47</v>
      </c>
      <c r="Y93" s="111" t="s">
        <v>54</v>
      </c>
      <c r="Z93" s="111" t="s">
        <v>55</v>
      </c>
      <c r="AA93" s="111" t="s">
        <v>56</v>
      </c>
      <c r="AB93" s="111" t="s">
        <v>47</v>
      </c>
      <c r="AC93" s="111" t="s">
        <v>47</v>
      </c>
      <c r="AD93" s="111" t="s">
        <v>47</v>
      </c>
      <c r="AE93" s="111" t="s">
        <v>47</v>
      </c>
      <c r="AF93" s="14"/>
      <c r="AG93" s="14" t="s">
        <v>57</v>
      </c>
      <c r="AH93" s="14" t="s">
        <v>58</v>
      </c>
      <c r="AI93" s="14" t="s">
        <v>59</v>
      </c>
      <c r="AJ93" s="14"/>
      <c r="AK93" s="14" t="s">
        <v>57</v>
      </c>
      <c r="AL93" s="14" t="s">
        <v>58</v>
      </c>
      <c r="AM93" s="14" t="s">
        <v>59</v>
      </c>
      <c r="AN93" s="14"/>
      <c r="AO93" s="111" t="s">
        <v>57</v>
      </c>
      <c r="AP93" s="111" t="s">
        <v>60</v>
      </c>
      <c r="AQ93" s="14">
        <v>0</v>
      </c>
      <c r="AR93" s="14">
        <v>0.15</v>
      </c>
      <c r="AS93" s="19"/>
    </row>
    <row r="94" spans="1:45">
      <c r="A94" s="117" t="s">
        <v>227</v>
      </c>
      <c r="B94" s="102" t="s">
        <v>227</v>
      </c>
      <c r="C94" s="109" t="s">
        <v>420</v>
      </c>
      <c r="D94" s="110" t="s">
        <v>44</v>
      </c>
      <c r="E94" s="110" t="s">
        <v>44</v>
      </c>
      <c r="F94" s="110" t="s">
        <v>45</v>
      </c>
      <c r="G94" s="110" t="s">
        <v>62</v>
      </c>
      <c r="H94" s="110" t="s">
        <v>47</v>
      </c>
      <c r="I94" s="110" t="s">
        <v>47</v>
      </c>
      <c r="J94" s="13">
        <v>5</v>
      </c>
      <c r="K94" s="13">
        <v>0</v>
      </c>
      <c r="L94" s="110" t="s">
        <v>48</v>
      </c>
      <c r="M94" s="110" t="s">
        <v>48</v>
      </c>
      <c r="N94" s="110" t="s">
        <v>48</v>
      </c>
      <c r="O94" s="13" t="s">
        <v>367</v>
      </c>
      <c r="P94" s="13"/>
      <c r="Q94" s="13" t="s">
        <v>379</v>
      </c>
      <c r="R94" s="13" t="s">
        <v>379</v>
      </c>
      <c r="S94" s="110" t="s">
        <v>47</v>
      </c>
      <c r="T94" s="110" t="s">
        <v>51</v>
      </c>
      <c r="U94" s="13"/>
      <c r="V94" s="110" t="s">
        <v>52</v>
      </c>
      <c r="W94" s="110" t="s">
        <v>53</v>
      </c>
      <c r="X94" s="110" t="s">
        <v>47</v>
      </c>
      <c r="Y94" s="110" t="s">
        <v>54</v>
      </c>
      <c r="Z94" s="110" t="s">
        <v>55</v>
      </c>
      <c r="AA94" s="110" t="s">
        <v>56</v>
      </c>
      <c r="AB94" s="110" t="s">
        <v>47</v>
      </c>
      <c r="AC94" s="110" t="s">
        <v>47</v>
      </c>
      <c r="AD94" s="110" t="s">
        <v>47</v>
      </c>
      <c r="AE94" s="110" t="s">
        <v>47</v>
      </c>
      <c r="AF94" s="13"/>
      <c r="AG94" s="13" t="s">
        <v>57</v>
      </c>
      <c r="AH94" s="13" t="s">
        <v>58</v>
      </c>
      <c r="AI94" s="13" t="s">
        <v>59</v>
      </c>
      <c r="AJ94" s="13"/>
      <c r="AK94" s="13" t="s">
        <v>57</v>
      </c>
      <c r="AL94" s="13" t="s">
        <v>58</v>
      </c>
      <c r="AM94" s="13" t="s">
        <v>59</v>
      </c>
      <c r="AN94" s="13"/>
      <c r="AO94" s="110" t="s">
        <v>57</v>
      </c>
      <c r="AP94" s="110" t="s">
        <v>60</v>
      </c>
      <c r="AQ94" s="13">
        <v>0</v>
      </c>
      <c r="AR94" s="13">
        <v>4.0662000000000003</v>
      </c>
      <c r="AS94" s="18"/>
    </row>
    <row r="95" spans="1:45">
      <c r="A95" s="117" t="s">
        <v>440</v>
      </c>
      <c r="B95" s="103" t="s">
        <v>229</v>
      </c>
      <c r="C95" s="111" t="s">
        <v>229</v>
      </c>
      <c r="D95" s="111" t="s">
        <v>77</v>
      </c>
      <c r="E95" s="111" t="s">
        <v>78</v>
      </c>
      <c r="F95" s="111" t="s">
        <v>79</v>
      </c>
      <c r="G95" s="111" t="s">
        <v>79</v>
      </c>
      <c r="H95" s="111" t="s">
        <v>47</v>
      </c>
      <c r="I95" s="111" t="s">
        <v>47</v>
      </c>
      <c r="J95" s="14">
        <v>0</v>
      </c>
      <c r="K95" s="14">
        <v>0</v>
      </c>
      <c r="L95" s="111" t="s">
        <v>48</v>
      </c>
      <c r="M95" s="111" t="s">
        <v>69</v>
      </c>
      <c r="N95" s="111" t="s">
        <v>48</v>
      </c>
      <c r="O95" s="14" t="s">
        <v>85</v>
      </c>
      <c r="P95" s="14"/>
      <c r="Q95" s="14" t="s">
        <v>85</v>
      </c>
      <c r="R95" s="14" t="s">
        <v>85</v>
      </c>
      <c r="S95" s="111" t="s">
        <v>47</v>
      </c>
      <c r="T95" s="111" t="s">
        <v>51</v>
      </c>
      <c r="U95" s="14"/>
      <c r="V95" s="111" t="s">
        <v>52</v>
      </c>
      <c r="W95" s="111" t="s">
        <v>134</v>
      </c>
      <c r="X95" s="111" t="s">
        <v>47</v>
      </c>
      <c r="Y95" s="111" t="s">
        <v>54</v>
      </c>
      <c r="Z95" s="111" t="s">
        <v>55</v>
      </c>
      <c r="AA95" s="111" t="s">
        <v>56</v>
      </c>
      <c r="AB95" s="111" t="s">
        <v>77</v>
      </c>
      <c r="AC95" s="111" t="s">
        <v>135</v>
      </c>
      <c r="AD95" s="111" t="s">
        <v>47</v>
      </c>
      <c r="AE95" s="111" t="s">
        <v>47</v>
      </c>
      <c r="AF95" s="14"/>
      <c r="AG95" s="14" t="s">
        <v>85</v>
      </c>
      <c r="AH95" s="14" t="s">
        <v>74</v>
      </c>
      <c r="AI95" s="14" t="s">
        <v>84</v>
      </c>
      <c r="AJ95" s="14"/>
      <c r="AK95" s="14" t="s">
        <v>85</v>
      </c>
      <c r="AL95" s="14" t="s">
        <v>74</v>
      </c>
      <c r="AM95" s="14" t="s">
        <v>84</v>
      </c>
      <c r="AN95" s="14"/>
      <c r="AO95" s="111" t="s">
        <v>85</v>
      </c>
      <c r="AP95" s="111" t="s">
        <v>60</v>
      </c>
      <c r="AQ95" s="14">
        <v>0</v>
      </c>
      <c r="AR95" s="14">
        <v>0</v>
      </c>
      <c r="AS95" s="19"/>
    </row>
    <row r="96" spans="1:45">
      <c r="A96" s="117" t="s">
        <v>230</v>
      </c>
      <c r="B96" s="102" t="s">
        <v>230</v>
      </c>
      <c r="C96" s="110" t="s">
        <v>230</v>
      </c>
      <c r="D96" s="110" t="s">
        <v>77</v>
      </c>
      <c r="E96" s="110" t="s">
        <v>78</v>
      </c>
      <c r="F96" s="110" t="s">
        <v>79</v>
      </c>
      <c r="G96" s="110" t="s">
        <v>79</v>
      </c>
      <c r="H96" s="110" t="s">
        <v>47</v>
      </c>
      <c r="I96" s="110" t="s">
        <v>47</v>
      </c>
      <c r="J96" s="13">
        <v>0</v>
      </c>
      <c r="K96" s="13">
        <v>0</v>
      </c>
      <c r="L96" s="110" t="s">
        <v>48</v>
      </c>
      <c r="M96" s="110" t="s">
        <v>69</v>
      </c>
      <c r="N96" s="110" t="s">
        <v>48</v>
      </c>
      <c r="O96" s="13" t="s">
        <v>85</v>
      </c>
      <c r="P96" s="13"/>
      <c r="Q96" s="13" t="s">
        <v>85</v>
      </c>
      <c r="R96" s="13" t="s">
        <v>85</v>
      </c>
      <c r="S96" s="110" t="s">
        <v>47</v>
      </c>
      <c r="T96" s="110" t="s">
        <v>51</v>
      </c>
      <c r="U96" s="13"/>
      <c r="V96" s="110" t="s">
        <v>52</v>
      </c>
      <c r="W96" s="110" t="s">
        <v>134</v>
      </c>
      <c r="X96" s="110" t="s">
        <v>47</v>
      </c>
      <c r="Y96" s="110" t="s">
        <v>54</v>
      </c>
      <c r="Z96" s="110" t="s">
        <v>55</v>
      </c>
      <c r="AA96" s="110" t="s">
        <v>56</v>
      </c>
      <c r="AB96" s="110" t="s">
        <v>77</v>
      </c>
      <c r="AC96" s="110" t="s">
        <v>135</v>
      </c>
      <c r="AD96" s="110" t="s">
        <v>47</v>
      </c>
      <c r="AE96" s="110" t="s">
        <v>47</v>
      </c>
      <c r="AF96" s="13"/>
      <c r="AG96" s="13" t="s">
        <v>85</v>
      </c>
      <c r="AH96" s="13" t="s">
        <v>74</v>
      </c>
      <c r="AI96" s="13" t="s">
        <v>84</v>
      </c>
      <c r="AJ96" s="13"/>
      <c r="AK96" s="13" t="s">
        <v>85</v>
      </c>
      <c r="AL96" s="13" t="s">
        <v>74</v>
      </c>
      <c r="AM96" s="13" t="s">
        <v>84</v>
      </c>
      <c r="AN96" s="13"/>
      <c r="AO96" s="110" t="s">
        <v>85</v>
      </c>
      <c r="AP96" s="110" t="s">
        <v>60</v>
      </c>
      <c r="AQ96" s="13">
        <v>0</v>
      </c>
      <c r="AR96" s="13">
        <v>0</v>
      </c>
      <c r="AS96" s="18"/>
    </row>
    <row r="97" spans="1:45">
      <c r="A97" s="117" t="s">
        <v>441</v>
      </c>
      <c r="B97" s="103" t="s">
        <v>231</v>
      </c>
      <c r="C97" s="111" t="s">
        <v>231</v>
      </c>
      <c r="D97" s="111" t="s">
        <v>77</v>
      </c>
      <c r="E97" s="111" t="s">
        <v>78</v>
      </c>
      <c r="F97" s="111" t="s">
        <v>79</v>
      </c>
      <c r="G97" s="111" t="s">
        <v>79</v>
      </c>
      <c r="H97" s="111" t="s">
        <v>47</v>
      </c>
      <c r="I97" s="111" t="s">
        <v>47</v>
      </c>
      <c r="J97" s="14">
        <v>0</v>
      </c>
      <c r="K97" s="14">
        <v>0</v>
      </c>
      <c r="L97" s="111" t="s">
        <v>48</v>
      </c>
      <c r="M97" s="111" t="s">
        <v>69</v>
      </c>
      <c r="N97" s="111" t="s">
        <v>48</v>
      </c>
      <c r="O97" s="14" t="s">
        <v>85</v>
      </c>
      <c r="P97" s="14"/>
      <c r="Q97" s="14" t="s">
        <v>85</v>
      </c>
      <c r="R97" s="14" t="s">
        <v>85</v>
      </c>
      <c r="S97" s="111" t="s">
        <v>47</v>
      </c>
      <c r="T97" s="111" t="s">
        <v>51</v>
      </c>
      <c r="U97" s="14"/>
      <c r="V97" s="111" t="s">
        <v>52</v>
      </c>
      <c r="W97" s="111" t="s">
        <v>81</v>
      </c>
      <c r="X97" s="111" t="s">
        <v>47</v>
      </c>
      <c r="Y97" s="111" t="s">
        <v>54</v>
      </c>
      <c r="Z97" s="111" t="s">
        <v>55</v>
      </c>
      <c r="AA97" s="111" t="s">
        <v>56</v>
      </c>
      <c r="AB97" s="111" t="s">
        <v>77</v>
      </c>
      <c r="AC97" s="111" t="s">
        <v>135</v>
      </c>
      <c r="AD97" s="111" t="s">
        <v>47</v>
      </c>
      <c r="AE97" s="111" t="s">
        <v>47</v>
      </c>
      <c r="AF97" s="14"/>
      <c r="AG97" s="14" t="s">
        <v>85</v>
      </c>
      <c r="AH97" s="14" t="s">
        <v>74</v>
      </c>
      <c r="AI97" s="14" t="s">
        <v>84</v>
      </c>
      <c r="AJ97" s="14"/>
      <c r="AK97" s="14" t="s">
        <v>85</v>
      </c>
      <c r="AL97" s="14" t="s">
        <v>74</v>
      </c>
      <c r="AM97" s="14" t="s">
        <v>84</v>
      </c>
      <c r="AN97" s="14"/>
      <c r="AO97" s="111" t="s">
        <v>85</v>
      </c>
      <c r="AP97" s="111" t="s">
        <v>60</v>
      </c>
      <c r="AQ97" s="14">
        <v>0</v>
      </c>
      <c r="AR97" s="14">
        <v>0</v>
      </c>
      <c r="AS97" s="19"/>
    </row>
    <row r="98" spans="1:45">
      <c r="A98" s="117" t="s">
        <v>442</v>
      </c>
      <c r="B98" s="102" t="s">
        <v>232</v>
      </c>
      <c r="C98" s="110" t="s">
        <v>232</v>
      </c>
      <c r="D98" s="110" t="s">
        <v>77</v>
      </c>
      <c r="E98" s="110" t="s">
        <v>78</v>
      </c>
      <c r="F98" s="110" t="s">
        <v>79</v>
      </c>
      <c r="G98" s="110" t="s">
        <v>79</v>
      </c>
      <c r="H98" s="110" t="s">
        <v>47</v>
      </c>
      <c r="I98" s="110" t="s">
        <v>47</v>
      </c>
      <c r="J98" s="13">
        <v>0</v>
      </c>
      <c r="K98" s="13">
        <v>0</v>
      </c>
      <c r="L98" s="110" t="s">
        <v>48</v>
      </c>
      <c r="M98" s="110" t="s">
        <v>69</v>
      </c>
      <c r="N98" s="110" t="s">
        <v>48</v>
      </c>
      <c r="O98" s="13" t="s">
        <v>85</v>
      </c>
      <c r="P98" s="13"/>
      <c r="Q98" s="13" t="s">
        <v>85</v>
      </c>
      <c r="R98" s="13" t="s">
        <v>85</v>
      </c>
      <c r="S98" s="110" t="s">
        <v>47</v>
      </c>
      <c r="T98" s="110" t="s">
        <v>51</v>
      </c>
      <c r="U98" s="13"/>
      <c r="V98" s="110" t="s">
        <v>52</v>
      </c>
      <c r="W98" s="110" t="s">
        <v>134</v>
      </c>
      <c r="X98" s="110" t="s">
        <v>47</v>
      </c>
      <c r="Y98" s="110" t="s">
        <v>54</v>
      </c>
      <c r="Z98" s="110" t="s">
        <v>55</v>
      </c>
      <c r="AA98" s="110" t="s">
        <v>56</v>
      </c>
      <c r="AB98" s="110" t="s">
        <v>77</v>
      </c>
      <c r="AC98" s="110" t="s">
        <v>135</v>
      </c>
      <c r="AD98" s="110" t="s">
        <v>47</v>
      </c>
      <c r="AE98" s="110" t="s">
        <v>47</v>
      </c>
      <c r="AF98" s="13"/>
      <c r="AG98" s="13" t="s">
        <v>85</v>
      </c>
      <c r="AH98" s="13" t="s">
        <v>74</v>
      </c>
      <c r="AI98" s="13" t="s">
        <v>84</v>
      </c>
      <c r="AJ98" s="13"/>
      <c r="AK98" s="13" t="s">
        <v>85</v>
      </c>
      <c r="AL98" s="13" t="s">
        <v>74</v>
      </c>
      <c r="AM98" s="13" t="s">
        <v>84</v>
      </c>
      <c r="AN98" s="13"/>
      <c r="AO98" s="110" t="s">
        <v>85</v>
      </c>
      <c r="AP98" s="110" t="s">
        <v>60</v>
      </c>
      <c r="AQ98" s="13">
        <v>0</v>
      </c>
      <c r="AR98" s="13">
        <v>0</v>
      </c>
      <c r="AS98" s="18"/>
    </row>
    <row r="99" spans="1:45">
      <c r="A99" s="117" t="s">
        <v>443</v>
      </c>
      <c r="B99" s="103" t="s">
        <v>233</v>
      </c>
      <c r="C99" s="111" t="s">
        <v>233</v>
      </c>
      <c r="D99" s="111" t="s">
        <v>77</v>
      </c>
      <c r="E99" s="111" t="s">
        <v>78</v>
      </c>
      <c r="F99" s="111" t="s">
        <v>79</v>
      </c>
      <c r="G99" s="111" t="s">
        <v>79</v>
      </c>
      <c r="H99" s="111" t="s">
        <v>47</v>
      </c>
      <c r="I99" s="111" t="s">
        <v>47</v>
      </c>
      <c r="J99" s="14">
        <v>0</v>
      </c>
      <c r="K99" s="14">
        <v>0</v>
      </c>
      <c r="L99" s="111" t="s">
        <v>48</v>
      </c>
      <c r="M99" s="111" t="s">
        <v>69</v>
      </c>
      <c r="N99" s="111" t="s">
        <v>48</v>
      </c>
      <c r="O99" s="14" t="s">
        <v>85</v>
      </c>
      <c r="P99" s="14"/>
      <c r="Q99" s="14" t="s">
        <v>85</v>
      </c>
      <c r="R99" s="14" t="s">
        <v>85</v>
      </c>
      <c r="S99" s="111" t="s">
        <v>47</v>
      </c>
      <c r="T99" s="111" t="s">
        <v>51</v>
      </c>
      <c r="U99" s="14"/>
      <c r="V99" s="111" t="s">
        <v>52</v>
      </c>
      <c r="W99" s="111" t="s">
        <v>134</v>
      </c>
      <c r="X99" s="111" t="s">
        <v>47</v>
      </c>
      <c r="Y99" s="111" t="s">
        <v>54</v>
      </c>
      <c r="Z99" s="111" t="s">
        <v>55</v>
      </c>
      <c r="AA99" s="111" t="s">
        <v>56</v>
      </c>
      <c r="AB99" s="111" t="s">
        <v>77</v>
      </c>
      <c r="AC99" s="111" t="s">
        <v>135</v>
      </c>
      <c r="AD99" s="111" t="s">
        <v>47</v>
      </c>
      <c r="AE99" s="111" t="s">
        <v>47</v>
      </c>
      <c r="AF99" s="14"/>
      <c r="AG99" s="14" t="s">
        <v>85</v>
      </c>
      <c r="AH99" s="14" t="s">
        <v>74</v>
      </c>
      <c r="AI99" s="14" t="s">
        <v>84</v>
      </c>
      <c r="AJ99" s="14"/>
      <c r="AK99" s="14" t="s">
        <v>85</v>
      </c>
      <c r="AL99" s="14" t="s">
        <v>74</v>
      </c>
      <c r="AM99" s="14" t="s">
        <v>84</v>
      </c>
      <c r="AN99" s="14"/>
      <c r="AO99" s="111" t="s">
        <v>85</v>
      </c>
      <c r="AP99" s="111" t="s">
        <v>60</v>
      </c>
      <c r="AQ99" s="14">
        <v>0</v>
      </c>
      <c r="AR99" s="14">
        <v>0</v>
      </c>
      <c r="AS99" s="19"/>
    </row>
    <row r="100" spans="1:45">
      <c r="A100" s="117" t="s">
        <v>328</v>
      </c>
      <c r="B100" s="102" t="s">
        <v>234</v>
      </c>
      <c r="C100" s="110" t="s">
        <v>235</v>
      </c>
      <c r="D100" s="110" t="s">
        <v>66</v>
      </c>
      <c r="E100" s="110" t="s">
        <v>66</v>
      </c>
      <c r="F100" s="110" t="s">
        <v>45</v>
      </c>
      <c r="G100" s="110" t="s">
        <v>67</v>
      </c>
      <c r="H100" s="110" t="s">
        <v>47</v>
      </c>
      <c r="I100" s="110" t="s">
        <v>47</v>
      </c>
      <c r="J100" s="13">
        <v>1</v>
      </c>
      <c r="K100" s="13">
        <v>0</v>
      </c>
      <c r="L100" s="110" t="s">
        <v>371</v>
      </c>
      <c r="M100" s="110" t="s">
        <v>69</v>
      </c>
      <c r="N100" s="110" t="s">
        <v>372</v>
      </c>
      <c r="O100" s="13" t="s">
        <v>373</v>
      </c>
      <c r="P100" s="13">
        <v>25</v>
      </c>
      <c r="Q100" s="13" t="s">
        <v>368</v>
      </c>
      <c r="R100" s="13" t="s">
        <v>368</v>
      </c>
      <c r="S100" s="110" t="s">
        <v>47</v>
      </c>
      <c r="T100" s="110" t="s">
        <v>51</v>
      </c>
      <c r="U100" s="13"/>
      <c r="V100" s="110" t="s">
        <v>52</v>
      </c>
      <c r="W100" s="110" t="s">
        <v>72</v>
      </c>
      <c r="X100" s="110" t="s">
        <v>47</v>
      </c>
      <c r="Y100" s="110" t="s">
        <v>54</v>
      </c>
      <c r="Z100" s="110" t="s">
        <v>55</v>
      </c>
      <c r="AA100" s="110" t="s">
        <v>56</v>
      </c>
      <c r="AB100" s="110" t="s">
        <v>47</v>
      </c>
      <c r="AC100" s="110" t="s">
        <v>47</v>
      </c>
      <c r="AD100" s="110" t="s">
        <v>47</v>
      </c>
      <c r="AE100" s="110" t="s">
        <v>47</v>
      </c>
      <c r="AF100" s="13"/>
      <c r="AG100" s="13" t="s">
        <v>73</v>
      </c>
      <c r="AH100" s="13" t="s">
        <v>74</v>
      </c>
      <c r="AI100" s="13" t="s">
        <v>59</v>
      </c>
      <c r="AJ100" s="13"/>
      <c r="AK100" s="13" t="s">
        <v>73</v>
      </c>
      <c r="AL100" s="13" t="s">
        <v>74</v>
      </c>
      <c r="AM100" s="13" t="s">
        <v>59</v>
      </c>
      <c r="AN100" s="13"/>
      <c r="AO100" s="110" t="s">
        <v>73</v>
      </c>
      <c r="AP100" s="110" t="s">
        <v>60</v>
      </c>
      <c r="AQ100" s="13">
        <v>0</v>
      </c>
      <c r="AR100" s="13">
        <v>8.08</v>
      </c>
      <c r="AS100" s="18"/>
    </row>
    <row r="101" spans="1:45">
      <c r="A101" s="117" t="s">
        <v>326</v>
      </c>
      <c r="B101" s="103" t="s">
        <v>237</v>
      </c>
      <c r="C101" s="111" t="s">
        <v>238</v>
      </c>
      <c r="D101" s="111" t="s">
        <v>66</v>
      </c>
      <c r="E101" s="111" t="s">
        <v>66</v>
      </c>
      <c r="F101" s="111" t="s">
        <v>45</v>
      </c>
      <c r="G101" s="111" t="s">
        <v>67</v>
      </c>
      <c r="H101" s="111" t="s">
        <v>47</v>
      </c>
      <c r="I101" s="111" t="s">
        <v>47</v>
      </c>
      <c r="J101" s="14">
        <v>1</v>
      </c>
      <c r="K101" s="14">
        <v>0</v>
      </c>
      <c r="L101" s="111" t="s">
        <v>371</v>
      </c>
      <c r="M101" s="111" t="s">
        <v>69</v>
      </c>
      <c r="N101" s="111" t="s">
        <v>372</v>
      </c>
      <c r="O101" s="14" t="s">
        <v>373</v>
      </c>
      <c r="P101" s="14">
        <v>25</v>
      </c>
      <c r="Q101" s="14" t="s">
        <v>368</v>
      </c>
      <c r="R101" s="14" t="s">
        <v>368</v>
      </c>
      <c r="S101" s="111" t="s">
        <v>47</v>
      </c>
      <c r="T101" s="111" t="s">
        <v>51</v>
      </c>
      <c r="U101" s="14"/>
      <c r="V101" s="111" t="s">
        <v>52</v>
      </c>
      <c r="W101" s="111" t="s">
        <v>72</v>
      </c>
      <c r="X101" s="111" t="s">
        <v>47</v>
      </c>
      <c r="Y101" s="111" t="s">
        <v>54</v>
      </c>
      <c r="Z101" s="111" t="s">
        <v>55</v>
      </c>
      <c r="AA101" s="111" t="s">
        <v>56</v>
      </c>
      <c r="AB101" s="111" t="s">
        <v>47</v>
      </c>
      <c r="AC101" s="111" t="s">
        <v>47</v>
      </c>
      <c r="AD101" s="111" t="s">
        <v>47</v>
      </c>
      <c r="AE101" s="111" t="s">
        <v>47</v>
      </c>
      <c r="AF101" s="14"/>
      <c r="AG101" s="14" t="s">
        <v>73</v>
      </c>
      <c r="AH101" s="14" t="s">
        <v>74</v>
      </c>
      <c r="AI101" s="14" t="s">
        <v>59</v>
      </c>
      <c r="AJ101" s="14"/>
      <c r="AK101" s="14" t="s">
        <v>73</v>
      </c>
      <c r="AL101" s="14" t="s">
        <v>74</v>
      </c>
      <c r="AM101" s="14" t="s">
        <v>59</v>
      </c>
      <c r="AN101" s="14"/>
      <c r="AO101" s="111" t="s">
        <v>73</v>
      </c>
      <c r="AP101" s="111" t="s">
        <v>60</v>
      </c>
      <c r="AQ101" s="14">
        <v>0</v>
      </c>
      <c r="AR101" s="14">
        <v>6.06</v>
      </c>
      <c r="AS101" s="19"/>
    </row>
    <row r="102" spans="1:45">
      <c r="A102" s="117" t="s">
        <v>239</v>
      </c>
      <c r="B102" s="102" t="s">
        <v>239</v>
      </c>
      <c r="C102" s="110" t="s">
        <v>240</v>
      </c>
      <c r="D102" s="110" t="s">
        <v>241</v>
      </c>
      <c r="E102" s="110" t="s">
        <v>44</v>
      </c>
      <c r="F102" s="110" t="s">
        <v>45</v>
      </c>
      <c r="G102" s="110" t="s">
        <v>62</v>
      </c>
      <c r="H102" s="110" t="s">
        <v>47</v>
      </c>
      <c r="I102" s="110" t="s">
        <v>47</v>
      </c>
      <c r="J102" s="13">
        <v>1</v>
      </c>
      <c r="K102" s="13">
        <v>0</v>
      </c>
      <c r="L102" s="110" t="s">
        <v>48</v>
      </c>
      <c r="M102" s="110" t="s">
        <v>48</v>
      </c>
      <c r="N102" s="110" t="s">
        <v>48</v>
      </c>
      <c r="O102" s="13" t="s">
        <v>373</v>
      </c>
      <c r="P102" s="13"/>
      <c r="Q102" s="13" t="s">
        <v>373</v>
      </c>
      <c r="R102" s="13" t="s">
        <v>373</v>
      </c>
      <c r="S102" s="110" t="s">
        <v>47</v>
      </c>
      <c r="T102" s="110" t="s">
        <v>51</v>
      </c>
      <c r="U102" s="13"/>
      <c r="V102" s="110" t="s">
        <v>52</v>
      </c>
      <c r="W102" s="110" t="s">
        <v>53</v>
      </c>
      <c r="X102" s="110" t="s">
        <v>47</v>
      </c>
      <c r="Y102" s="110" t="s">
        <v>54</v>
      </c>
      <c r="Z102" s="110" t="s">
        <v>55</v>
      </c>
      <c r="AA102" s="110" t="s">
        <v>56</v>
      </c>
      <c r="AB102" s="110" t="s">
        <v>47</v>
      </c>
      <c r="AC102" s="110" t="s">
        <v>47</v>
      </c>
      <c r="AD102" s="110" t="s">
        <v>47</v>
      </c>
      <c r="AE102" s="110" t="s">
        <v>47</v>
      </c>
      <c r="AF102" s="13"/>
      <c r="AG102" s="13" t="s">
        <v>73</v>
      </c>
      <c r="AH102" s="13" t="s">
        <v>74</v>
      </c>
      <c r="AI102" s="13" t="s">
        <v>59</v>
      </c>
      <c r="AJ102" s="13"/>
      <c r="AK102" s="13" t="s">
        <v>73</v>
      </c>
      <c r="AL102" s="13" t="s">
        <v>74</v>
      </c>
      <c r="AM102" s="13" t="s">
        <v>59</v>
      </c>
      <c r="AN102" s="13"/>
      <c r="AO102" s="110" t="s">
        <v>73</v>
      </c>
      <c r="AP102" s="110" t="s">
        <v>60</v>
      </c>
      <c r="AQ102" s="13">
        <v>2</v>
      </c>
      <c r="AR102" s="13">
        <v>28.105910000000002</v>
      </c>
      <c r="AS102" s="18"/>
    </row>
    <row r="103" spans="1:45">
      <c r="A103" s="117" t="s">
        <v>242</v>
      </c>
      <c r="B103" s="103" t="s">
        <v>242</v>
      </c>
      <c r="C103" s="111" t="s">
        <v>243</v>
      </c>
      <c r="D103" s="111" t="s">
        <v>241</v>
      </c>
      <c r="E103" s="111" t="s">
        <v>44</v>
      </c>
      <c r="F103" s="111" t="s">
        <v>45</v>
      </c>
      <c r="G103" s="111" t="s">
        <v>62</v>
      </c>
      <c r="H103" s="111" t="s">
        <v>47</v>
      </c>
      <c r="I103" s="111" t="s">
        <v>47</v>
      </c>
      <c r="J103" s="14">
        <v>1</v>
      </c>
      <c r="K103" s="14">
        <v>0</v>
      </c>
      <c r="L103" s="111" t="s">
        <v>48</v>
      </c>
      <c r="M103" s="111" t="s">
        <v>48</v>
      </c>
      <c r="N103" s="111" t="s">
        <v>48</v>
      </c>
      <c r="O103" s="14" t="s">
        <v>373</v>
      </c>
      <c r="P103" s="14"/>
      <c r="Q103" s="14" t="s">
        <v>373</v>
      </c>
      <c r="R103" s="14" t="s">
        <v>373</v>
      </c>
      <c r="S103" s="111" t="s">
        <v>47</v>
      </c>
      <c r="T103" s="111" t="s">
        <v>51</v>
      </c>
      <c r="U103" s="14"/>
      <c r="V103" s="111" t="s">
        <v>52</v>
      </c>
      <c r="W103" s="111" t="s">
        <v>53</v>
      </c>
      <c r="X103" s="111" t="s">
        <v>47</v>
      </c>
      <c r="Y103" s="111" t="s">
        <v>54</v>
      </c>
      <c r="Z103" s="111" t="s">
        <v>55</v>
      </c>
      <c r="AA103" s="111" t="s">
        <v>56</v>
      </c>
      <c r="AB103" s="111" t="s">
        <v>47</v>
      </c>
      <c r="AC103" s="111" t="s">
        <v>47</v>
      </c>
      <c r="AD103" s="111" t="s">
        <v>47</v>
      </c>
      <c r="AE103" s="111" t="s">
        <v>47</v>
      </c>
      <c r="AF103" s="14"/>
      <c r="AG103" s="14" t="s">
        <v>73</v>
      </c>
      <c r="AH103" s="14" t="s">
        <v>74</v>
      </c>
      <c r="AI103" s="14" t="s">
        <v>59</v>
      </c>
      <c r="AJ103" s="14"/>
      <c r="AK103" s="14" t="s">
        <v>73</v>
      </c>
      <c r="AL103" s="14" t="s">
        <v>74</v>
      </c>
      <c r="AM103" s="14" t="s">
        <v>59</v>
      </c>
      <c r="AN103" s="14"/>
      <c r="AO103" s="111" t="s">
        <v>73</v>
      </c>
      <c r="AP103" s="111" t="s">
        <v>60</v>
      </c>
      <c r="AQ103" s="14">
        <v>0</v>
      </c>
      <c r="AR103" s="14">
        <v>2.8574999999999999</v>
      </c>
      <c r="AS103" s="19"/>
    </row>
    <row r="104" spans="1:45">
      <c r="A104" s="117" t="s">
        <v>244</v>
      </c>
      <c r="B104" s="102" t="s">
        <v>244</v>
      </c>
      <c r="C104" s="110" t="s">
        <v>245</v>
      </c>
      <c r="D104" s="110" t="s">
        <v>241</v>
      </c>
      <c r="E104" s="110" t="s">
        <v>44</v>
      </c>
      <c r="F104" s="110" t="s">
        <v>45</v>
      </c>
      <c r="G104" s="110" t="s">
        <v>62</v>
      </c>
      <c r="H104" s="110" t="s">
        <v>47</v>
      </c>
      <c r="I104" s="110" t="s">
        <v>47</v>
      </c>
      <c r="J104" s="13">
        <v>1</v>
      </c>
      <c r="K104" s="13">
        <v>0</v>
      </c>
      <c r="L104" s="110" t="s">
        <v>48</v>
      </c>
      <c r="M104" s="110" t="s">
        <v>48</v>
      </c>
      <c r="N104" s="110" t="s">
        <v>48</v>
      </c>
      <c r="O104" s="13" t="s">
        <v>373</v>
      </c>
      <c r="P104" s="13"/>
      <c r="Q104" s="13" t="s">
        <v>373</v>
      </c>
      <c r="R104" s="13" t="s">
        <v>373</v>
      </c>
      <c r="S104" s="110" t="s">
        <v>47</v>
      </c>
      <c r="T104" s="110" t="s">
        <v>51</v>
      </c>
      <c r="U104" s="13"/>
      <c r="V104" s="110" t="s">
        <v>52</v>
      </c>
      <c r="W104" s="110" t="s">
        <v>53</v>
      </c>
      <c r="X104" s="110" t="s">
        <v>47</v>
      </c>
      <c r="Y104" s="110" t="s">
        <v>54</v>
      </c>
      <c r="Z104" s="110" t="s">
        <v>55</v>
      </c>
      <c r="AA104" s="110" t="s">
        <v>56</v>
      </c>
      <c r="AB104" s="110" t="s">
        <v>47</v>
      </c>
      <c r="AC104" s="110" t="s">
        <v>47</v>
      </c>
      <c r="AD104" s="110" t="s">
        <v>47</v>
      </c>
      <c r="AE104" s="110" t="s">
        <v>47</v>
      </c>
      <c r="AF104" s="13"/>
      <c r="AG104" s="13" t="s">
        <v>73</v>
      </c>
      <c r="AH104" s="13" t="s">
        <v>74</v>
      </c>
      <c r="AI104" s="13" t="s">
        <v>59</v>
      </c>
      <c r="AJ104" s="13"/>
      <c r="AK104" s="13" t="s">
        <v>73</v>
      </c>
      <c r="AL104" s="13" t="s">
        <v>74</v>
      </c>
      <c r="AM104" s="13" t="s">
        <v>59</v>
      </c>
      <c r="AN104" s="13"/>
      <c r="AO104" s="110" t="s">
        <v>73</v>
      </c>
      <c r="AP104" s="110" t="s">
        <v>60</v>
      </c>
      <c r="AQ104" s="13">
        <v>0</v>
      </c>
      <c r="AR104" s="13">
        <v>2.7208999999999999</v>
      </c>
      <c r="AS104" s="18"/>
    </row>
    <row r="105" spans="1:45">
      <c r="A105" s="117" t="s">
        <v>246</v>
      </c>
      <c r="B105" s="103" t="s">
        <v>246</v>
      </c>
      <c r="C105" s="111" t="s">
        <v>247</v>
      </c>
      <c r="D105" s="111" t="s">
        <v>241</v>
      </c>
      <c r="E105" s="111" t="s">
        <v>44</v>
      </c>
      <c r="F105" s="111" t="s">
        <v>45</v>
      </c>
      <c r="G105" s="111" t="s">
        <v>62</v>
      </c>
      <c r="H105" s="111" t="s">
        <v>47</v>
      </c>
      <c r="I105" s="111" t="s">
        <v>47</v>
      </c>
      <c r="J105" s="14">
        <v>1</v>
      </c>
      <c r="K105" s="14">
        <v>0</v>
      </c>
      <c r="L105" s="111" t="s">
        <v>48</v>
      </c>
      <c r="M105" s="111" t="s">
        <v>48</v>
      </c>
      <c r="N105" s="111" t="s">
        <v>48</v>
      </c>
      <c r="O105" s="14" t="s">
        <v>373</v>
      </c>
      <c r="P105" s="14"/>
      <c r="Q105" s="14" t="s">
        <v>373</v>
      </c>
      <c r="R105" s="14" t="s">
        <v>373</v>
      </c>
      <c r="S105" s="111" t="s">
        <v>47</v>
      </c>
      <c r="T105" s="111" t="s">
        <v>51</v>
      </c>
      <c r="U105" s="14"/>
      <c r="V105" s="111" t="s">
        <v>52</v>
      </c>
      <c r="W105" s="111" t="s">
        <v>53</v>
      </c>
      <c r="X105" s="111" t="s">
        <v>47</v>
      </c>
      <c r="Y105" s="111" t="s">
        <v>54</v>
      </c>
      <c r="Z105" s="111" t="s">
        <v>55</v>
      </c>
      <c r="AA105" s="111" t="s">
        <v>56</v>
      </c>
      <c r="AB105" s="111" t="s">
        <v>47</v>
      </c>
      <c r="AC105" s="111" t="s">
        <v>47</v>
      </c>
      <c r="AD105" s="111" t="s">
        <v>47</v>
      </c>
      <c r="AE105" s="111" t="s">
        <v>47</v>
      </c>
      <c r="AF105" s="14"/>
      <c r="AG105" s="14" t="s">
        <v>73</v>
      </c>
      <c r="AH105" s="14" t="s">
        <v>74</v>
      </c>
      <c r="AI105" s="14" t="s">
        <v>59</v>
      </c>
      <c r="AJ105" s="14"/>
      <c r="AK105" s="14" t="s">
        <v>73</v>
      </c>
      <c r="AL105" s="14" t="s">
        <v>74</v>
      </c>
      <c r="AM105" s="14" t="s">
        <v>59</v>
      </c>
      <c r="AN105" s="14"/>
      <c r="AO105" s="111" t="s">
        <v>73</v>
      </c>
      <c r="AP105" s="111" t="s">
        <v>60</v>
      </c>
      <c r="AQ105" s="14">
        <v>0</v>
      </c>
      <c r="AR105" s="14">
        <v>1.5553999999999999</v>
      </c>
      <c r="AS105" s="19"/>
    </row>
    <row r="106" spans="1:45">
      <c r="A106" s="117" t="s">
        <v>248</v>
      </c>
      <c r="B106" s="102" t="s">
        <v>248</v>
      </c>
      <c r="C106" s="110" t="s">
        <v>249</v>
      </c>
      <c r="D106" s="110" t="s">
        <v>241</v>
      </c>
      <c r="E106" s="110" t="s">
        <v>44</v>
      </c>
      <c r="F106" s="110" t="s">
        <v>45</v>
      </c>
      <c r="G106" s="110" t="s">
        <v>62</v>
      </c>
      <c r="H106" s="110" t="s">
        <v>47</v>
      </c>
      <c r="I106" s="110" t="s">
        <v>47</v>
      </c>
      <c r="J106" s="13">
        <v>1</v>
      </c>
      <c r="K106" s="13">
        <v>0</v>
      </c>
      <c r="L106" s="110" t="s">
        <v>48</v>
      </c>
      <c r="M106" s="110" t="s">
        <v>48</v>
      </c>
      <c r="N106" s="110" t="s">
        <v>48</v>
      </c>
      <c r="O106" s="13" t="s">
        <v>373</v>
      </c>
      <c r="P106" s="13"/>
      <c r="Q106" s="13" t="s">
        <v>373</v>
      </c>
      <c r="R106" s="13" t="s">
        <v>373</v>
      </c>
      <c r="S106" s="110" t="s">
        <v>47</v>
      </c>
      <c r="T106" s="110" t="s">
        <v>51</v>
      </c>
      <c r="U106" s="13"/>
      <c r="V106" s="110" t="s">
        <v>52</v>
      </c>
      <c r="W106" s="110" t="s">
        <v>53</v>
      </c>
      <c r="X106" s="110" t="s">
        <v>47</v>
      </c>
      <c r="Y106" s="110" t="s">
        <v>54</v>
      </c>
      <c r="Z106" s="110" t="s">
        <v>55</v>
      </c>
      <c r="AA106" s="110" t="s">
        <v>56</v>
      </c>
      <c r="AB106" s="110" t="s">
        <v>47</v>
      </c>
      <c r="AC106" s="110" t="s">
        <v>47</v>
      </c>
      <c r="AD106" s="110" t="s">
        <v>47</v>
      </c>
      <c r="AE106" s="110" t="s">
        <v>47</v>
      </c>
      <c r="AF106" s="13"/>
      <c r="AG106" s="13" t="s">
        <v>73</v>
      </c>
      <c r="AH106" s="13" t="s">
        <v>74</v>
      </c>
      <c r="AI106" s="13" t="s">
        <v>59</v>
      </c>
      <c r="AJ106" s="13"/>
      <c r="AK106" s="13" t="s">
        <v>73</v>
      </c>
      <c r="AL106" s="13" t="s">
        <v>74</v>
      </c>
      <c r="AM106" s="13" t="s">
        <v>59</v>
      </c>
      <c r="AN106" s="13"/>
      <c r="AO106" s="110" t="s">
        <v>73</v>
      </c>
      <c r="AP106" s="110" t="s">
        <v>60</v>
      </c>
      <c r="AQ106" s="13">
        <v>0</v>
      </c>
      <c r="AR106" s="13">
        <v>34.423099999999998</v>
      </c>
      <c r="AS106" s="18"/>
    </row>
    <row r="107" spans="1:45">
      <c r="A107" s="117" t="s">
        <v>359</v>
      </c>
      <c r="B107" s="103" t="s">
        <v>250</v>
      </c>
      <c r="C107" s="111" t="s">
        <v>251</v>
      </c>
      <c r="D107" s="111" t="s">
        <v>66</v>
      </c>
      <c r="E107" s="111" t="s">
        <v>66</v>
      </c>
      <c r="F107" s="111" t="s">
        <v>45</v>
      </c>
      <c r="G107" s="111" t="s">
        <v>67</v>
      </c>
      <c r="H107" s="111" t="s">
        <v>47</v>
      </c>
      <c r="I107" s="111" t="s">
        <v>47</v>
      </c>
      <c r="J107" s="14">
        <v>1</v>
      </c>
      <c r="K107" s="14">
        <v>0</v>
      </c>
      <c r="L107" s="111" t="s">
        <v>371</v>
      </c>
      <c r="M107" s="111" t="s">
        <v>69</v>
      </c>
      <c r="N107" s="111" t="s">
        <v>372</v>
      </c>
      <c r="O107" s="14" t="s">
        <v>373</v>
      </c>
      <c r="P107" s="14">
        <v>25</v>
      </c>
      <c r="Q107" s="14" t="s">
        <v>374</v>
      </c>
      <c r="R107" s="14" t="s">
        <v>374</v>
      </c>
      <c r="S107" s="111" t="s">
        <v>47</v>
      </c>
      <c r="T107" s="111" t="s">
        <v>51</v>
      </c>
      <c r="U107" s="14"/>
      <c r="V107" s="111" t="s">
        <v>52</v>
      </c>
      <c r="W107" s="111" t="s">
        <v>72</v>
      </c>
      <c r="X107" s="111" t="s">
        <v>47</v>
      </c>
      <c r="Y107" s="111" t="s">
        <v>54</v>
      </c>
      <c r="Z107" s="111" t="s">
        <v>55</v>
      </c>
      <c r="AA107" s="111" t="s">
        <v>56</v>
      </c>
      <c r="AB107" s="111" t="s">
        <v>47</v>
      </c>
      <c r="AC107" s="111" t="s">
        <v>47</v>
      </c>
      <c r="AD107" s="111" t="s">
        <v>47</v>
      </c>
      <c r="AE107" s="111" t="s">
        <v>47</v>
      </c>
      <c r="AF107" s="14"/>
      <c r="AG107" s="14" t="s">
        <v>94</v>
      </c>
      <c r="AH107" s="14" t="s">
        <v>74</v>
      </c>
      <c r="AI107" s="14" t="s">
        <v>59</v>
      </c>
      <c r="AJ107" s="14"/>
      <c r="AK107" s="14" t="s">
        <v>94</v>
      </c>
      <c r="AL107" s="14" t="s">
        <v>74</v>
      </c>
      <c r="AM107" s="14" t="s">
        <v>59</v>
      </c>
      <c r="AN107" s="14"/>
      <c r="AO107" s="111" t="s">
        <v>94</v>
      </c>
      <c r="AP107" s="111" t="s">
        <v>60</v>
      </c>
      <c r="AQ107" s="14">
        <v>0</v>
      </c>
      <c r="AR107" s="14">
        <v>2.2000000000000002</v>
      </c>
      <c r="AS107" s="19"/>
    </row>
    <row r="108" spans="1:45">
      <c r="A108" s="117" t="s">
        <v>356</v>
      </c>
      <c r="B108" s="102" t="s">
        <v>252</v>
      </c>
      <c r="C108" s="110" t="s">
        <v>253</v>
      </c>
      <c r="D108" s="110" t="s">
        <v>66</v>
      </c>
      <c r="E108" s="110" t="s">
        <v>66</v>
      </c>
      <c r="F108" s="110" t="s">
        <v>45</v>
      </c>
      <c r="G108" s="110" t="s">
        <v>67</v>
      </c>
      <c r="H108" s="110" t="s">
        <v>47</v>
      </c>
      <c r="I108" s="110" t="s">
        <v>47</v>
      </c>
      <c r="J108" s="13">
        <v>1</v>
      </c>
      <c r="K108" s="13">
        <v>0</v>
      </c>
      <c r="L108" s="110" t="s">
        <v>371</v>
      </c>
      <c r="M108" s="110" t="s">
        <v>69</v>
      </c>
      <c r="N108" s="110" t="s">
        <v>372</v>
      </c>
      <c r="O108" s="13" t="s">
        <v>373</v>
      </c>
      <c r="P108" s="13">
        <v>25</v>
      </c>
      <c r="Q108" s="13" t="s">
        <v>374</v>
      </c>
      <c r="R108" s="13" t="s">
        <v>374</v>
      </c>
      <c r="S108" s="110" t="s">
        <v>47</v>
      </c>
      <c r="T108" s="110" t="s">
        <v>51</v>
      </c>
      <c r="U108" s="13"/>
      <c r="V108" s="110" t="s">
        <v>52</v>
      </c>
      <c r="W108" s="110" t="s">
        <v>72</v>
      </c>
      <c r="X108" s="110" t="s">
        <v>47</v>
      </c>
      <c r="Y108" s="110" t="s">
        <v>54</v>
      </c>
      <c r="Z108" s="110" t="s">
        <v>55</v>
      </c>
      <c r="AA108" s="110" t="s">
        <v>56</v>
      </c>
      <c r="AB108" s="110" t="s">
        <v>47</v>
      </c>
      <c r="AC108" s="110" t="s">
        <v>47</v>
      </c>
      <c r="AD108" s="110" t="s">
        <v>47</v>
      </c>
      <c r="AE108" s="110" t="s">
        <v>47</v>
      </c>
      <c r="AF108" s="13"/>
      <c r="AG108" s="13" t="s">
        <v>94</v>
      </c>
      <c r="AH108" s="13" t="s">
        <v>74</v>
      </c>
      <c r="AI108" s="13" t="s">
        <v>59</v>
      </c>
      <c r="AJ108" s="13"/>
      <c r="AK108" s="13" t="s">
        <v>94</v>
      </c>
      <c r="AL108" s="13" t="s">
        <v>74</v>
      </c>
      <c r="AM108" s="13" t="s">
        <v>59</v>
      </c>
      <c r="AN108" s="13"/>
      <c r="AO108" s="110" t="s">
        <v>94</v>
      </c>
      <c r="AP108" s="110" t="s">
        <v>60</v>
      </c>
      <c r="AQ108" s="13">
        <v>0</v>
      </c>
      <c r="AR108" s="13">
        <v>3.1</v>
      </c>
      <c r="AS108" s="18"/>
    </row>
    <row r="109" spans="1:45">
      <c r="A109" s="117" t="s">
        <v>444</v>
      </c>
      <c r="B109" s="103" t="s">
        <v>254</v>
      </c>
      <c r="C109" s="111" t="s">
        <v>254</v>
      </c>
      <c r="D109" s="111" t="s">
        <v>77</v>
      </c>
      <c r="E109" s="111" t="s">
        <v>78</v>
      </c>
      <c r="F109" s="111" t="s">
        <v>79</v>
      </c>
      <c r="G109" s="111" t="s">
        <v>79</v>
      </c>
      <c r="H109" s="111" t="s">
        <v>47</v>
      </c>
      <c r="I109" s="111" t="s">
        <v>47</v>
      </c>
      <c r="J109" s="14">
        <v>0</v>
      </c>
      <c r="K109" s="14">
        <v>0</v>
      </c>
      <c r="L109" s="111" t="s">
        <v>48</v>
      </c>
      <c r="M109" s="111" t="s">
        <v>69</v>
      </c>
      <c r="N109" s="111" t="s">
        <v>48</v>
      </c>
      <c r="O109" s="14" t="s">
        <v>85</v>
      </c>
      <c r="P109" s="14"/>
      <c r="Q109" s="14" t="s">
        <v>85</v>
      </c>
      <c r="R109" s="14" t="s">
        <v>85</v>
      </c>
      <c r="S109" s="111" t="s">
        <v>47</v>
      </c>
      <c r="T109" s="111" t="s">
        <v>51</v>
      </c>
      <c r="U109" s="14"/>
      <c r="V109" s="111" t="s">
        <v>52</v>
      </c>
      <c r="W109" s="111" t="s">
        <v>134</v>
      </c>
      <c r="X109" s="111" t="s">
        <v>47</v>
      </c>
      <c r="Y109" s="111" t="s">
        <v>54</v>
      </c>
      <c r="Z109" s="111" t="s">
        <v>55</v>
      </c>
      <c r="AA109" s="111" t="s">
        <v>56</v>
      </c>
      <c r="AB109" s="111" t="s">
        <v>77</v>
      </c>
      <c r="AC109" s="111" t="s">
        <v>135</v>
      </c>
      <c r="AD109" s="111" t="s">
        <v>47</v>
      </c>
      <c r="AE109" s="111" t="s">
        <v>47</v>
      </c>
      <c r="AF109" s="14"/>
      <c r="AG109" s="14" t="s">
        <v>85</v>
      </c>
      <c r="AH109" s="14" t="s">
        <v>74</v>
      </c>
      <c r="AI109" s="14" t="s">
        <v>84</v>
      </c>
      <c r="AJ109" s="14"/>
      <c r="AK109" s="14" t="s">
        <v>85</v>
      </c>
      <c r="AL109" s="14" t="s">
        <v>74</v>
      </c>
      <c r="AM109" s="14" t="s">
        <v>84</v>
      </c>
      <c r="AN109" s="14"/>
      <c r="AO109" s="111" t="s">
        <v>85</v>
      </c>
      <c r="AP109" s="111" t="s">
        <v>60</v>
      </c>
      <c r="AQ109" s="14">
        <v>0</v>
      </c>
      <c r="AR109" s="14">
        <v>0</v>
      </c>
      <c r="AS109" s="19"/>
    </row>
    <row r="110" spans="1:45">
      <c r="A110" s="117" t="s">
        <v>337</v>
      </c>
      <c r="B110" s="102" t="s">
        <v>255</v>
      </c>
      <c r="C110" s="110" t="s">
        <v>256</v>
      </c>
      <c r="D110" s="110" t="s">
        <v>66</v>
      </c>
      <c r="E110" s="110" t="s">
        <v>66</v>
      </c>
      <c r="F110" s="110" t="s">
        <v>45</v>
      </c>
      <c r="G110" s="110" t="s">
        <v>67</v>
      </c>
      <c r="H110" s="110" t="s">
        <v>47</v>
      </c>
      <c r="I110" s="110" t="s">
        <v>47</v>
      </c>
      <c r="J110" s="13">
        <v>1</v>
      </c>
      <c r="K110" s="13">
        <v>0</v>
      </c>
      <c r="L110" s="110" t="s">
        <v>371</v>
      </c>
      <c r="M110" s="110" t="s">
        <v>69</v>
      </c>
      <c r="N110" s="110" t="s">
        <v>372</v>
      </c>
      <c r="O110" s="13" t="s">
        <v>373</v>
      </c>
      <c r="P110" s="13">
        <v>200</v>
      </c>
      <c r="Q110" s="13" t="s">
        <v>368</v>
      </c>
      <c r="R110" s="13" t="s">
        <v>368</v>
      </c>
      <c r="S110" s="110" t="s">
        <v>47</v>
      </c>
      <c r="T110" s="110" t="s">
        <v>51</v>
      </c>
      <c r="U110" s="13"/>
      <c r="V110" s="110" t="s">
        <v>52</v>
      </c>
      <c r="W110" s="110" t="s">
        <v>72</v>
      </c>
      <c r="X110" s="110" t="s">
        <v>47</v>
      </c>
      <c r="Y110" s="110" t="s">
        <v>54</v>
      </c>
      <c r="Z110" s="110" t="s">
        <v>55</v>
      </c>
      <c r="AA110" s="110" t="s">
        <v>56</v>
      </c>
      <c r="AB110" s="110" t="s">
        <v>47</v>
      </c>
      <c r="AC110" s="110" t="s">
        <v>47</v>
      </c>
      <c r="AD110" s="110" t="s">
        <v>47</v>
      </c>
      <c r="AE110" s="110" t="s">
        <v>47</v>
      </c>
      <c r="AF110" s="13"/>
      <c r="AG110" s="13" t="s">
        <v>73</v>
      </c>
      <c r="AH110" s="13" t="s">
        <v>74</v>
      </c>
      <c r="AI110" s="13" t="s">
        <v>59</v>
      </c>
      <c r="AJ110" s="13"/>
      <c r="AK110" s="13" t="s">
        <v>73</v>
      </c>
      <c r="AL110" s="13" t="s">
        <v>74</v>
      </c>
      <c r="AM110" s="13" t="s">
        <v>59</v>
      </c>
      <c r="AN110" s="13"/>
      <c r="AO110" s="110" t="s">
        <v>73</v>
      </c>
      <c r="AP110" s="110" t="s">
        <v>60</v>
      </c>
      <c r="AQ110" s="13">
        <v>0</v>
      </c>
      <c r="AR110" s="13">
        <v>2.9</v>
      </c>
      <c r="AS110" s="18"/>
    </row>
    <row r="111" spans="1:45">
      <c r="A111" s="117" t="s">
        <v>345</v>
      </c>
      <c r="B111" s="103" t="s">
        <v>257</v>
      </c>
      <c r="C111" s="111" t="s">
        <v>258</v>
      </c>
      <c r="D111" s="111" t="s">
        <v>66</v>
      </c>
      <c r="E111" s="111" t="s">
        <v>66</v>
      </c>
      <c r="F111" s="111" t="s">
        <v>45</v>
      </c>
      <c r="G111" s="111" t="s">
        <v>67</v>
      </c>
      <c r="H111" s="111" t="s">
        <v>47</v>
      </c>
      <c r="I111" s="111" t="s">
        <v>47</v>
      </c>
      <c r="J111" s="14">
        <v>1</v>
      </c>
      <c r="K111" s="14">
        <v>0</v>
      </c>
      <c r="L111" s="111" t="s">
        <v>371</v>
      </c>
      <c r="M111" s="111" t="s">
        <v>69</v>
      </c>
      <c r="N111" s="111" t="s">
        <v>372</v>
      </c>
      <c r="O111" s="14" t="s">
        <v>373</v>
      </c>
      <c r="P111" s="14">
        <v>200</v>
      </c>
      <c r="Q111" s="14" t="s">
        <v>368</v>
      </c>
      <c r="R111" s="14" t="s">
        <v>368</v>
      </c>
      <c r="S111" s="111" t="s">
        <v>47</v>
      </c>
      <c r="T111" s="111" t="s">
        <v>51</v>
      </c>
      <c r="U111" s="14"/>
      <c r="V111" s="111" t="s">
        <v>52</v>
      </c>
      <c r="W111" s="111" t="s">
        <v>72</v>
      </c>
      <c r="X111" s="111" t="s">
        <v>47</v>
      </c>
      <c r="Y111" s="111" t="s">
        <v>54</v>
      </c>
      <c r="Z111" s="111" t="s">
        <v>55</v>
      </c>
      <c r="AA111" s="111" t="s">
        <v>56</v>
      </c>
      <c r="AB111" s="111" t="s">
        <v>47</v>
      </c>
      <c r="AC111" s="111" t="s">
        <v>47</v>
      </c>
      <c r="AD111" s="111" t="s">
        <v>47</v>
      </c>
      <c r="AE111" s="111" t="s">
        <v>47</v>
      </c>
      <c r="AF111" s="14"/>
      <c r="AG111" s="14" t="s">
        <v>73</v>
      </c>
      <c r="AH111" s="14" t="s">
        <v>74</v>
      </c>
      <c r="AI111" s="14" t="s">
        <v>59</v>
      </c>
      <c r="AJ111" s="14"/>
      <c r="AK111" s="14" t="s">
        <v>73</v>
      </c>
      <c r="AL111" s="14" t="s">
        <v>74</v>
      </c>
      <c r="AM111" s="14" t="s">
        <v>59</v>
      </c>
      <c r="AN111" s="14"/>
      <c r="AO111" s="111" t="s">
        <v>73</v>
      </c>
      <c r="AP111" s="111" t="s">
        <v>60</v>
      </c>
      <c r="AQ111" s="14">
        <v>0</v>
      </c>
      <c r="AR111" s="14">
        <v>1.2</v>
      </c>
      <c r="AS111" s="19"/>
    </row>
    <row r="112" spans="1:45">
      <c r="A112" s="117" t="s">
        <v>445</v>
      </c>
      <c r="B112" s="102" t="s">
        <v>259</v>
      </c>
      <c r="C112" s="110" t="s">
        <v>259</v>
      </c>
      <c r="D112" s="110" t="s">
        <v>77</v>
      </c>
      <c r="E112" s="110" t="s">
        <v>78</v>
      </c>
      <c r="F112" s="110" t="s">
        <v>79</v>
      </c>
      <c r="G112" s="110" t="s">
        <v>79</v>
      </c>
      <c r="H112" s="110" t="s">
        <v>47</v>
      </c>
      <c r="I112" s="110" t="s">
        <v>47</v>
      </c>
      <c r="J112" s="13">
        <v>0</v>
      </c>
      <c r="K112" s="13">
        <v>0</v>
      </c>
      <c r="L112" s="110" t="s">
        <v>48</v>
      </c>
      <c r="M112" s="110" t="s">
        <v>69</v>
      </c>
      <c r="N112" s="110" t="s">
        <v>48</v>
      </c>
      <c r="O112" s="13" t="s">
        <v>85</v>
      </c>
      <c r="P112" s="13"/>
      <c r="Q112" s="13" t="s">
        <v>85</v>
      </c>
      <c r="R112" s="13" t="s">
        <v>85</v>
      </c>
      <c r="S112" s="110" t="s">
        <v>47</v>
      </c>
      <c r="T112" s="110" t="s">
        <v>51</v>
      </c>
      <c r="U112" s="13"/>
      <c r="V112" s="110" t="s">
        <v>52</v>
      </c>
      <c r="W112" s="110" t="s">
        <v>134</v>
      </c>
      <c r="X112" s="110" t="s">
        <v>47</v>
      </c>
      <c r="Y112" s="110" t="s">
        <v>54</v>
      </c>
      <c r="Z112" s="110" t="s">
        <v>55</v>
      </c>
      <c r="AA112" s="110" t="s">
        <v>56</v>
      </c>
      <c r="AB112" s="110" t="s">
        <v>77</v>
      </c>
      <c r="AC112" s="110" t="s">
        <v>260</v>
      </c>
      <c r="AD112" s="110" t="s">
        <v>47</v>
      </c>
      <c r="AE112" s="110" t="s">
        <v>47</v>
      </c>
      <c r="AF112" s="13"/>
      <c r="AG112" s="13" t="s">
        <v>85</v>
      </c>
      <c r="AH112" s="13" t="s">
        <v>74</v>
      </c>
      <c r="AI112" s="13" t="s">
        <v>84</v>
      </c>
      <c r="AJ112" s="13"/>
      <c r="AK112" s="13" t="s">
        <v>85</v>
      </c>
      <c r="AL112" s="13" t="s">
        <v>74</v>
      </c>
      <c r="AM112" s="13" t="s">
        <v>84</v>
      </c>
      <c r="AN112" s="13"/>
      <c r="AO112" s="110" t="s">
        <v>85</v>
      </c>
      <c r="AP112" s="110" t="s">
        <v>60</v>
      </c>
      <c r="AQ112" s="13">
        <v>0</v>
      </c>
      <c r="AR112" s="13">
        <v>0</v>
      </c>
      <c r="AS112" s="18"/>
    </row>
    <row r="113" spans="1:45" ht="28.5">
      <c r="A113" s="117" t="s">
        <v>446</v>
      </c>
      <c r="B113" s="103" t="s">
        <v>261</v>
      </c>
      <c r="C113" s="112" t="s">
        <v>262</v>
      </c>
      <c r="D113" s="111" t="s">
        <v>77</v>
      </c>
      <c r="E113" s="111" t="s">
        <v>78</v>
      </c>
      <c r="F113" s="111" t="s">
        <v>79</v>
      </c>
      <c r="G113" s="111" t="s">
        <v>79</v>
      </c>
      <c r="H113" s="111" t="s">
        <v>47</v>
      </c>
      <c r="I113" s="111" t="s">
        <v>47</v>
      </c>
      <c r="J113" s="14">
        <v>0</v>
      </c>
      <c r="K113" s="14">
        <v>0</v>
      </c>
      <c r="L113" s="111" t="s">
        <v>48</v>
      </c>
      <c r="M113" s="111" t="s">
        <v>69</v>
      </c>
      <c r="N113" s="111" t="s">
        <v>48</v>
      </c>
      <c r="O113" s="14" t="s">
        <v>85</v>
      </c>
      <c r="P113" s="14"/>
      <c r="Q113" s="14" t="s">
        <v>85</v>
      </c>
      <c r="R113" s="14" t="s">
        <v>85</v>
      </c>
      <c r="S113" s="111" t="s">
        <v>47</v>
      </c>
      <c r="T113" s="111" t="s">
        <v>263</v>
      </c>
      <c r="U113" s="14"/>
      <c r="V113" s="111" t="s">
        <v>52</v>
      </c>
      <c r="W113" s="111" t="s">
        <v>134</v>
      </c>
      <c r="X113" s="111" t="s">
        <v>47</v>
      </c>
      <c r="Y113" s="111" t="s">
        <v>54</v>
      </c>
      <c r="Z113" s="111" t="s">
        <v>55</v>
      </c>
      <c r="AA113" s="111" t="s">
        <v>56</v>
      </c>
      <c r="AB113" s="111" t="s">
        <v>77</v>
      </c>
      <c r="AC113" s="111" t="s">
        <v>264</v>
      </c>
      <c r="AD113" s="111" t="s">
        <v>47</v>
      </c>
      <c r="AE113" s="111" t="s">
        <v>47</v>
      </c>
      <c r="AF113" s="14"/>
      <c r="AG113" s="14" t="s">
        <v>85</v>
      </c>
      <c r="AH113" s="14" t="s">
        <v>74</v>
      </c>
      <c r="AI113" s="14" t="s">
        <v>59</v>
      </c>
      <c r="AJ113" s="14"/>
      <c r="AK113" s="14" t="s">
        <v>85</v>
      </c>
      <c r="AL113" s="14" t="s">
        <v>74</v>
      </c>
      <c r="AM113" s="14" t="s">
        <v>59</v>
      </c>
      <c r="AN113" s="14"/>
      <c r="AO113" s="111" t="s">
        <v>85</v>
      </c>
      <c r="AP113" s="111" t="s">
        <v>60</v>
      </c>
      <c r="AQ113" s="14">
        <v>0</v>
      </c>
      <c r="AR113" s="14">
        <v>0</v>
      </c>
      <c r="AS113" s="19"/>
    </row>
    <row r="114" spans="1:45">
      <c r="A114" s="117" t="s">
        <v>447</v>
      </c>
      <c r="B114" s="102" t="s">
        <v>265</v>
      </c>
      <c r="C114" s="110" t="s">
        <v>265</v>
      </c>
      <c r="D114" s="110" t="s">
        <v>77</v>
      </c>
      <c r="E114" s="110" t="s">
        <v>78</v>
      </c>
      <c r="F114" s="110" t="s">
        <v>79</v>
      </c>
      <c r="G114" s="110" t="s">
        <v>79</v>
      </c>
      <c r="H114" s="110" t="s">
        <v>47</v>
      </c>
      <c r="I114" s="110" t="s">
        <v>47</v>
      </c>
      <c r="J114" s="13">
        <v>0</v>
      </c>
      <c r="K114" s="13">
        <v>0</v>
      </c>
      <c r="L114" s="110" t="s">
        <v>48</v>
      </c>
      <c r="M114" s="110" t="s">
        <v>69</v>
      </c>
      <c r="N114" s="110" t="s">
        <v>48</v>
      </c>
      <c r="O114" s="13" t="s">
        <v>85</v>
      </c>
      <c r="P114" s="13"/>
      <c r="Q114" s="13" t="s">
        <v>85</v>
      </c>
      <c r="R114" s="13" t="s">
        <v>85</v>
      </c>
      <c r="S114" s="110" t="s">
        <v>47</v>
      </c>
      <c r="T114" s="110" t="s">
        <v>51</v>
      </c>
      <c r="U114" s="13"/>
      <c r="V114" s="110" t="s">
        <v>52</v>
      </c>
      <c r="W114" s="110" t="s">
        <v>81</v>
      </c>
      <c r="X114" s="110" t="s">
        <v>47</v>
      </c>
      <c r="Y114" s="110" t="s">
        <v>54</v>
      </c>
      <c r="Z114" s="110" t="s">
        <v>55</v>
      </c>
      <c r="AA114" s="110" t="s">
        <v>56</v>
      </c>
      <c r="AB114" s="110" t="s">
        <v>77</v>
      </c>
      <c r="AC114" s="110" t="s">
        <v>135</v>
      </c>
      <c r="AD114" s="110" t="s">
        <v>47</v>
      </c>
      <c r="AE114" s="110" t="s">
        <v>47</v>
      </c>
      <c r="AF114" s="13"/>
      <c r="AG114" s="13" t="s">
        <v>85</v>
      </c>
      <c r="AH114" s="13" t="s">
        <v>74</v>
      </c>
      <c r="AI114" s="13" t="s">
        <v>84</v>
      </c>
      <c r="AJ114" s="13"/>
      <c r="AK114" s="13" t="s">
        <v>85</v>
      </c>
      <c r="AL114" s="13" t="s">
        <v>74</v>
      </c>
      <c r="AM114" s="13" t="s">
        <v>84</v>
      </c>
      <c r="AN114" s="13"/>
      <c r="AO114" s="110" t="s">
        <v>85</v>
      </c>
      <c r="AP114" s="110" t="s">
        <v>60</v>
      </c>
      <c r="AQ114" s="13">
        <v>0</v>
      </c>
      <c r="AR114" s="13">
        <v>0</v>
      </c>
      <c r="AS114" s="18"/>
    </row>
    <row r="115" spans="1:45">
      <c r="A115" s="117" t="s">
        <v>448</v>
      </c>
      <c r="B115" s="103" t="s">
        <v>266</v>
      </c>
      <c r="C115" s="111" t="s">
        <v>266</v>
      </c>
      <c r="D115" s="111" t="s">
        <v>77</v>
      </c>
      <c r="E115" s="111" t="s">
        <v>78</v>
      </c>
      <c r="F115" s="111" t="s">
        <v>79</v>
      </c>
      <c r="G115" s="111" t="s">
        <v>79</v>
      </c>
      <c r="H115" s="111" t="s">
        <v>47</v>
      </c>
      <c r="I115" s="111" t="s">
        <v>47</v>
      </c>
      <c r="J115" s="14">
        <v>0</v>
      </c>
      <c r="K115" s="14">
        <v>0</v>
      </c>
      <c r="L115" s="111" t="s">
        <v>48</v>
      </c>
      <c r="M115" s="111" t="s">
        <v>69</v>
      </c>
      <c r="N115" s="111" t="s">
        <v>48</v>
      </c>
      <c r="O115" s="14" t="s">
        <v>85</v>
      </c>
      <c r="P115" s="14"/>
      <c r="Q115" s="14" t="s">
        <v>85</v>
      </c>
      <c r="R115" s="14" t="s">
        <v>85</v>
      </c>
      <c r="S115" s="111" t="s">
        <v>47</v>
      </c>
      <c r="T115" s="111" t="s">
        <v>51</v>
      </c>
      <c r="U115" s="14"/>
      <c r="V115" s="111" t="s">
        <v>52</v>
      </c>
      <c r="W115" s="111" t="s">
        <v>81</v>
      </c>
      <c r="X115" s="111" t="s">
        <v>47</v>
      </c>
      <c r="Y115" s="111" t="s">
        <v>54</v>
      </c>
      <c r="Z115" s="111" t="s">
        <v>55</v>
      </c>
      <c r="AA115" s="111" t="s">
        <v>56</v>
      </c>
      <c r="AB115" s="111" t="s">
        <v>77</v>
      </c>
      <c r="AC115" s="111" t="s">
        <v>135</v>
      </c>
      <c r="AD115" s="111" t="s">
        <v>47</v>
      </c>
      <c r="AE115" s="111" t="s">
        <v>47</v>
      </c>
      <c r="AF115" s="14"/>
      <c r="AG115" s="14" t="s">
        <v>85</v>
      </c>
      <c r="AH115" s="14" t="s">
        <v>74</v>
      </c>
      <c r="AI115" s="14" t="s">
        <v>84</v>
      </c>
      <c r="AJ115" s="14"/>
      <c r="AK115" s="14" t="s">
        <v>85</v>
      </c>
      <c r="AL115" s="14" t="s">
        <v>74</v>
      </c>
      <c r="AM115" s="14" t="s">
        <v>84</v>
      </c>
      <c r="AN115" s="14"/>
      <c r="AO115" s="111" t="s">
        <v>85</v>
      </c>
      <c r="AP115" s="111" t="s">
        <v>60</v>
      </c>
      <c r="AQ115" s="14">
        <v>0</v>
      </c>
      <c r="AR115" s="14">
        <v>0</v>
      </c>
      <c r="AS115" s="19"/>
    </row>
    <row r="116" spans="1:45">
      <c r="A116" s="117" t="s">
        <v>360</v>
      </c>
      <c r="B116" s="102" t="s">
        <v>267</v>
      </c>
      <c r="C116" s="110" t="s">
        <v>268</v>
      </c>
      <c r="D116" s="110" t="s">
        <v>66</v>
      </c>
      <c r="E116" s="110" t="s">
        <v>66</v>
      </c>
      <c r="F116" s="110" t="s">
        <v>45</v>
      </c>
      <c r="G116" s="110" t="s">
        <v>67</v>
      </c>
      <c r="H116" s="110" t="s">
        <v>47</v>
      </c>
      <c r="I116" s="110" t="s">
        <v>47</v>
      </c>
      <c r="J116" s="13">
        <v>1</v>
      </c>
      <c r="K116" s="13">
        <v>0</v>
      </c>
      <c r="L116" s="110" t="s">
        <v>371</v>
      </c>
      <c r="M116" s="110" t="s">
        <v>69</v>
      </c>
      <c r="N116" s="110" t="s">
        <v>372</v>
      </c>
      <c r="O116" s="13" t="s">
        <v>373</v>
      </c>
      <c r="P116" s="13">
        <v>20</v>
      </c>
      <c r="Q116" s="13" t="s">
        <v>374</v>
      </c>
      <c r="R116" s="13" t="s">
        <v>374</v>
      </c>
      <c r="S116" s="110" t="s">
        <v>47</v>
      </c>
      <c r="T116" s="110" t="s">
        <v>51</v>
      </c>
      <c r="U116" s="13"/>
      <c r="V116" s="110" t="s">
        <v>52</v>
      </c>
      <c r="W116" s="110" t="s">
        <v>72</v>
      </c>
      <c r="X116" s="110" t="s">
        <v>47</v>
      </c>
      <c r="Y116" s="110" t="s">
        <v>54</v>
      </c>
      <c r="Z116" s="110" t="s">
        <v>55</v>
      </c>
      <c r="AA116" s="110" t="s">
        <v>56</v>
      </c>
      <c r="AB116" s="110" t="s">
        <v>47</v>
      </c>
      <c r="AC116" s="110" t="s">
        <v>47</v>
      </c>
      <c r="AD116" s="110" t="s">
        <v>47</v>
      </c>
      <c r="AE116" s="110" t="s">
        <v>47</v>
      </c>
      <c r="AF116" s="13"/>
      <c r="AG116" s="13" t="s">
        <v>94</v>
      </c>
      <c r="AH116" s="13" t="s">
        <v>74</v>
      </c>
      <c r="AI116" s="13" t="s">
        <v>59</v>
      </c>
      <c r="AJ116" s="13"/>
      <c r="AK116" s="13" t="s">
        <v>94</v>
      </c>
      <c r="AL116" s="13" t="s">
        <v>74</v>
      </c>
      <c r="AM116" s="13" t="s">
        <v>59</v>
      </c>
      <c r="AN116" s="13"/>
      <c r="AO116" s="110" t="s">
        <v>94</v>
      </c>
      <c r="AP116" s="110" t="s">
        <v>60</v>
      </c>
      <c r="AQ116" s="13">
        <v>0</v>
      </c>
      <c r="AR116" s="13">
        <v>9.5</v>
      </c>
      <c r="AS116" s="18"/>
    </row>
    <row r="117" spans="1:45">
      <c r="A117" s="117" t="s">
        <v>449</v>
      </c>
      <c r="B117" s="103" t="s">
        <v>269</v>
      </c>
      <c r="C117" s="111" t="s">
        <v>269</v>
      </c>
      <c r="D117" s="111" t="s">
        <v>77</v>
      </c>
      <c r="E117" s="111" t="s">
        <v>78</v>
      </c>
      <c r="F117" s="111" t="s">
        <v>79</v>
      </c>
      <c r="G117" s="111" t="s">
        <v>79</v>
      </c>
      <c r="H117" s="111" t="s">
        <v>47</v>
      </c>
      <c r="I117" s="111" t="s">
        <v>47</v>
      </c>
      <c r="J117" s="14">
        <v>0</v>
      </c>
      <c r="K117" s="14">
        <v>0</v>
      </c>
      <c r="L117" s="111" t="s">
        <v>48</v>
      </c>
      <c r="M117" s="111" t="s">
        <v>69</v>
      </c>
      <c r="N117" s="111" t="s">
        <v>48</v>
      </c>
      <c r="O117" s="14" t="s">
        <v>85</v>
      </c>
      <c r="P117" s="14"/>
      <c r="Q117" s="14" t="s">
        <v>85</v>
      </c>
      <c r="R117" s="14" t="s">
        <v>85</v>
      </c>
      <c r="S117" s="111" t="s">
        <v>47</v>
      </c>
      <c r="T117" s="111" t="s">
        <v>51</v>
      </c>
      <c r="U117" s="14"/>
      <c r="V117" s="111" t="s">
        <v>52</v>
      </c>
      <c r="W117" s="111" t="s">
        <v>270</v>
      </c>
      <c r="X117" s="111" t="s">
        <v>47</v>
      </c>
      <c r="Y117" s="111" t="s">
        <v>54</v>
      </c>
      <c r="Z117" s="111" t="s">
        <v>55</v>
      </c>
      <c r="AA117" s="111" t="s">
        <v>56</v>
      </c>
      <c r="AB117" s="111" t="s">
        <v>77</v>
      </c>
      <c r="AC117" s="111" t="s">
        <v>135</v>
      </c>
      <c r="AD117" s="111" t="s">
        <v>47</v>
      </c>
      <c r="AE117" s="111" t="s">
        <v>47</v>
      </c>
      <c r="AF117" s="14"/>
      <c r="AG117" s="14" t="s">
        <v>85</v>
      </c>
      <c r="AH117" s="14" t="s">
        <v>74</v>
      </c>
      <c r="AI117" s="14" t="s">
        <v>84</v>
      </c>
      <c r="AJ117" s="14"/>
      <c r="AK117" s="14" t="s">
        <v>85</v>
      </c>
      <c r="AL117" s="14" t="s">
        <v>74</v>
      </c>
      <c r="AM117" s="14" t="s">
        <v>84</v>
      </c>
      <c r="AN117" s="14"/>
      <c r="AO117" s="111" t="s">
        <v>85</v>
      </c>
      <c r="AP117" s="111" t="s">
        <v>60</v>
      </c>
      <c r="AQ117" s="14">
        <v>0</v>
      </c>
      <c r="AR117" s="14">
        <v>0</v>
      </c>
      <c r="AS117" s="19"/>
    </row>
    <row r="118" spans="1:45">
      <c r="A118" s="117" t="s">
        <v>450</v>
      </c>
      <c r="B118" s="102" t="s">
        <v>271</v>
      </c>
      <c r="C118" s="110" t="s">
        <v>271</v>
      </c>
      <c r="D118" s="110" t="s">
        <v>77</v>
      </c>
      <c r="E118" s="110" t="s">
        <v>78</v>
      </c>
      <c r="F118" s="110" t="s">
        <v>79</v>
      </c>
      <c r="G118" s="110" t="s">
        <v>79</v>
      </c>
      <c r="H118" s="110" t="s">
        <v>47</v>
      </c>
      <c r="I118" s="110" t="s">
        <v>47</v>
      </c>
      <c r="J118" s="13">
        <v>0</v>
      </c>
      <c r="K118" s="13">
        <v>0</v>
      </c>
      <c r="L118" s="110" t="s">
        <v>48</v>
      </c>
      <c r="M118" s="110" t="s">
        <v>69</v>
      </c>
      <c r="N118" s="110" t="s">
        <v>48</v>
      </c>
      <c r="O118" s="13" t="s">
        <v>85</v>
      </c>
      <c r="P118" s="13"/>
      <c r="Q118" s="13" t="s">
        <v>85</v>
      </c>
      <c r="R118" s="13" t="s">
        <v>85</v>
      </c>
      <c r="S118" s="110" t="s">
        <v>47</v>
      </c>
      <c r="T118" s="110" t="s">
        <v>51</v>
      </c>
      <c r="U118" s="13"/>
      <c r="V118" s="110" t="s">
        <v>52</v>
      </c>
      <c r="W118" s="110" t="s">
        <v>270</v>
      </c>
      <c r="X118" s="110" t="s">
        <v>47</v>
      </c>
      <c r="Y118" s="110" t="s">
        <v>54</v>
      </c>
      <c r="Z118" s="110" t="s">
        <v>55</v>
      </c>
      <c r="AA118" s="110" t="s">
        <v>56</v>
      </c>
      <c r="AB118" s="110" t="s">
        <v>77</v>
      </c>
      <c r="AC118" s="110" t="s">
        <v>135</v>
      </c>
      <c r="AD118" s="110" t="s">
        <v>47</v>
      </c>
      <c r="AE118" s="110" t="s">
        <v>47</v>
      </c>
      <c r="AF118" s="13"/>
      <c r="AG118" s="13" t="s">
        <v>85</v>
      </c>
      <c r="AH118" s="13" t="s">
        <v>74</v>
      </c>
      <c r="AI118" s="13" t="s">
        <v>84</v>
      </c>
      <c r="AJ118" s="13"/>
      <c r="AK118" s="13" t="s">
        <v>85</v>
      </c>
      <c r="AL118" s="13" t="s">
        <v>74</v>
      </c>
      <c r="AM118" s="13" t="s">
        <v>84</v>
      </c>
      <c r="AN118" s="13"/>
      <c r="AO118" s="110" t="s">
        <v>85</v>
      </c>
      <c r="AP118" s="110" t="s">
        <v>60</v>
      </c>
      <c r="AQ118" s="13">
        <v>0</v>
      </c>
      <c r="AR118" s="13">
        <v>0</v>
      </c>
      <c r="AS118" s="18"/>
    </row>
    <row r="119" spans="1:45">
      <c r="A119" s="117" t="s">
        <v>272</v>
      </c>
      <c r="B119" s="103" t="s">
        <v>272</v>
      </c>
      <c r="C119" s="111" t="s">
        <v>272</v>
      </c>
      <c r="D119" s="111" t="s">
        <v>77</v>
      </c>
      <c r="E119" s="111" t="s">
        <v>78</v>
      </c>
      <c r="F119" s="111" t="s">
        <v>79</v>
      </c>
      <c r="G119" s="111" t="s">
        <v>79</v>
      </c>
      <c r="H119" s="111" t="s">
        <v>47</v>
      </c>
      <c r="I119" s="111" t="s">
        <v>47</v>
      </c>
      <c r="J119" s="14">
        <v>0</v>
      </c>
      <c r="K119" s="14">
        <v>0</v>
      </c>
      <c r="L119" s="111" t="s">
        <v>48</v>
      </c>
      <c r="M119" s="111" t="s">
        <v>69</v>
      </c>
      <c r="N119" s="111" t="s">
        <v>48</v>
      </c>
      <c r="O119" s="14" t="s">
        <v>85</v>
      </c>
      <c r="P119" s="14"/>
      <c r="Q119" s="14" t="s">
        <v>85</v>
      </c>
      <c r="R119" s="14" t="s">
        <v>85</v>
      </c>
      <c r="S119" s="111" t="s">
        <v>47</v>
      </c>
      <c r="T119" s="111" t="s">
        <v>51</v>
      </c>
      <c r="U119" s="14"/>
      <c r="V119" s="111" t="s">
        <v>52</v>
      </c>
      <c r="W119" s="111" t="s">
        <v>134</v>
      </c>
      <c r="X119" s="111" t="s">
        <v>47</v>
      </c>
      <c r="Y119" s="111" t="s">
        <v>54</v>
      </c>
      <c r="Z119" s="111" t="s">
        <v>55</v>
      </c>
      <c r="AA119" s="111" t="s">
        <v>56</v>
      </c>
      <c r="AB119" s="111" t="s">
        <v>77</v>
      </c>
      <c r="AC119" s="111" t="s">
        <v>135</v>
      </c>
      <c r="AD119" s="111" t="s">
        <v>47</v>
      </c>
      <c r="AE119" s="111" t="s">
        <v>47</v>
      </c>
      <c r="AF119" s="14"/>
      <c r="AG119" s="14" t="s">
        <v>85</v>
      </c>
      <c r="AH119" s="14" t="s">
        <v>74</v>
      </c>
      <c r="AI119" s="14" t="s">
        <v>84</v>
      </c>
      <c r="AJ119" s="14"/>
      <c r="AK119" s="14" t="s">
        <v>85</v>
      </c>
      <c r="AL119" s="14" t="s">
        <v>74</v>
      </c>
      <c r="AM119" s="14" t="s">
        <v>84</v>
      </c>
      <c r="AN119" s="14"/>
      <c r="AO119" s="111" t="s">
        <v>85</v>
      </c>
      <c r="AP119" s="111" t="s">
        <v>60</v>
      </c>
      <c r="AQ119" s="14">
        <v>0</v>
      </c>
      <c r="AR119" s="14">
        <v>0</v>
      </c>
      <c r="AS119" s="19"/>
    </row>
    <row r="120" spans="1:45">
      <c r="A120" s="117" t="s">
        <v>274</v>
      </c>
      <c r="B120" s="102" t="s">
        <v>273</v>
      </c>
      <c r="C120" s="110" t="s">
        <v>274</v>
      </c>
      <c r="D120" s="110" t="s">
        <v>77</v>
      </c>
      <c r="E120" s="110" t="s">
        <v>78</v>
      </c>
      <c r="F120" s="110" t="s">
        <v>79</v>
      </c>
      <c r="G120" s="110" t="s">
        <v>79</v>
      </c>
      <c r="H120" s="110" t="s">
        <v>47</v>
      </c>
      <c r="I120" s="110" t="s">
        <v>47</v>
      </c>
      <c r="J120" s="13">
        <v>0</v>
      </c>
      <c r="K120" s="13">
        <v>0</v>
      </c>
      <c r="L120" s="110" t="s">
        <v>48</v>
      </c>
      <c r="M120" s="110" t="s">
        <v>69</v>
      </c>
      <c r="N120" s="110" t="s">
        <v>48</v>
      </c>
      <c r="O120" s="13" t="s">
        <v>85</v>
      </c>
      <c r="P120" s="13"/>
      <c r="Q120" s="13" t="s">
        <v>85</v>
      </c>
      <c r="R120" s="13" t="s">
        <v>85</v>
      </c>
      <c r="S120" s="110" t="s">
        <v>47</v>
      </c>
      <c r="T120" s="110" t="s">
        <v>110</v>
      </c>
      <c r="U120" s="13"/>
      <c r="V120" s="110" t="s">
        <v>52</v>
      </c>
      <c r="W120" s="110" t="s">
        <v>275</v>
      </c>
      <c r="X120" s="110" t="s">
        <v>47</v>
      </c>
      <c r="Y120" s="110" t="s">
        <v>54</v>
      </c>
      <c r="Z120" s="110" t="s">
        <v>55</v>
      </c>
      <c r="AA120" s="110" t="s">
        <v>56</v>
      </c>
      <c r="AB120" s="110" t="s">
        <v>276</v>
      </c>
      <c r="AC120" s="110" t="s">
        <v>277</v>
      </c>
      <c r="AD120" s="110" t="s">
        <v>47</v>
      </c>
      <c r="AE120" s="110" t="s">
        <v>47</v>
      </c>
      <c r="AF120" s="13"/>
      <c r="AG120" s="13" t="s">
        <v>85</v>
      </c>
      <c r="AH120" s="13" t="s">
        <v>74</v>
      </c>
      <c r="AI120" s="13" t="s">
        <v>84</v>
      </c>
      <c r="AJ120" s="13"/>
      <c r="AK120" s="13" t="s">
        <v>85</v>
      </c>
      <c r="AL120" s="13" t="s">
        <v>74</v>
      </c>
      <c r="AM120" s="13" t="s">
        <v>84</v>
      </c>
      <c r="AN120" s="13"/>
      <c r="AO120" s="110" t="s">
        <v>85</v>
      </c>
      <c r="AP120" s="110" t="s">
        <v>60</v>
      </c>
      <c r="AQ120" s="13">
        <v>0</v>
      </c>
      <c r="AR120" s="13">
        <v>0</v>
      </c>
      <c r="AS120" s="18"/>
    </row>
    <row r="121" spans="1:45">
      <c r="A121" s="117" t="s">
        <v>331</v>
      </c>
      <c r="B121" s="103" t="s">
        <v>278</v>
      </c>
      <c r="C121" s="111" t="s">
        <v>279</v>
      </c>
      <c r="D121" s="111" t="s">
        <v>66</v>
      </c>
      <c r="E121" s="111" t="s">
        <v>66</v>
      </c>
      <c r="F121" s="111" t="s">
        <v>45</v>
      </c>
      <c r="G121" s="111" t="s">
        <v>67</v>
      </c>
      <c r="H121" s="111" t="s">
        <v>47</v>
      </c>
      <c r="I121" s="111" t="s">
        <v>47</v>
      </c>
      <c r="J121" s="14">
        <v>1</v>
      </c>
      <c r="K121" s="14">
        <v>0</v>
      </c>
      <c r="L121" s="111" t="s">
        <v>371</v>
      </c>
      <c r="M121" s="111" t="s">
        <v>69</v>
      </c>
      <c r="N121" s="111" t="s">
        <v>372</v>
      </c>
      <c r="O121" s="14" t="s">
        <v>373</v>
      </c>
      <c r="P121" s="14">
        <v>25</v>
      </c>
      <c r="Q121" s="14" t="s">
        <v>374</v>
      </c>
      <c r="R121" s="14" t="s">
        <v>374</v>
      </c>
      <c r="S121" s="111" t="s">
        <v>47</v>
      </c>
      <c r="T121" s="111" t="s">
        <v>51</v>
      </c>
      <c r="U121" s="14"/>
      <c r="V121" s="111" t="s">
        <v>52</v>
      </c>
      <c r="W121" s="111" t="s">
        <v>72</v>
      </c>
      <c r="X121" s="111" t="s">
        <v>47</v>
      </c>
      <c r="Y121" s="111" t="s">
        <v>54</v>
      </c>
      <c r="Z121" s="111" t="s">
        <v>55</v>
      </c>
      <c r="AA121" s="111" t="s">
        <v>56</v>
      </c>
      <c r="AB121" s="111" t="s">
        <v>47</v>
      </c>
      <c r="AC121" s="111" t="s">
        <v>47</v>
      </c>
      <c r="AD121" s="111" t="s">
        <v>47</v>
      </c>
      <c r="AE121" s="111" t="s">
        <v>47</v>
      </c>
      <c r="AF121" s="14"/>
      <c r="AG121" s="14" t="s">
        <v>94</v>
      </c>
      <c r="AH121" s="14" t="s">
        <v>74</v>
      </c>
      <c r="AI121" s="14" t="s">
        <v>59</v>
      </c>
      <c r="AJ121" s="14"/>
      <c r="AK121" s="14" t="s">
        <v>94</v>
      </c>
      <c r="AL121" s="14" t="s">
        <v>74</v>
      </c>
      <c r="AM121" s="14" t="s">
        <v>59</v>
      </c>
      <c r="AN121" s="14"/>
      <c r="AO121" s="111" t="s">
        <v>94</v>
      </c>
      <c r="AP121" s="111" t="s">
        <v>60</v>
      </c>
      <c r="AQ121" s="14">
        <v>0</v>
      </c>
      <c r="AR121" s="14">
        <v>9.4500000000000001E-2</v>
      </c>
      <c r="AS121" s="19"/>
    </row>
    <row r="122" spans="1:45">
      <c r="A122" s="117" t="s">
        <v>451</v>
      </c>
      <c r="B122" s="102" t="s">
        <v>280</v>
      </c>
      <c r="C122" s="110" t="s">
        <v>280</v>
      </c>
      <c r="D122" s="110" t="s">
        <v>77</v>
      </c>
      <c r="E122" s="110" t="s">
        <v>78</v>
      </c>
      <c r="F122" s="110" t="s">
        <v>79</v>
      </c>
      <c r="G122" s="110" t="s">
        <v>79</v>
      </c>
      <c r="H122" s="110" t="s">
        <v>47</v>
      </c>
      <c r="I122" s="110" t="s">
        <v>47</v>
      </c>
      <c r="J122" s="13">
        <v>0</v>
      </c>
      <c r="K122" s="13">
        <v>0</v>
      </c>
      <c r="L122" s="110" t="s">
        <v>48</v>
      </c>
      <c r="M122" s="110" t="s">
        <v>69</v>
      </c>
      <c r="N122" s="110" t="s">
        <v>48</v>
      </c>
      <c r="O122" s="13" t="s">
        <v>85</v>
      </c>
      <c r="P122" s="13"/>
      <c r="Q122" s="13" t="s">
        <v>85</v>
      </c>
      <c r="R122" s="13" t="s">
        <v>85</v>
      </c>
      <c r="S122" s="110" t="s">
        <v>47</v>
      </c>
      <c r="T122" s="110" t="s">
        <v>51</v>
      </c>
      <c r="U122" s="13"/>
      <c r="V122" s="110" t="s">
        <v>52</v>
      </c>
      <c r="W122" s="110" t="s">
        <v>81</v>
      </c>
      <c r="X122" s="110" t="s">
        <v>47</v>
      </c>
      <c r="Y122" s="110" t="s">
        <v>54</v>
      </c>
      <c r="Z122" s="110" t="s">
        <v>55</v>
      </c>
      <c r="AA122" s="110" t="s">
        <v>56</v>
      </c>
      <c r="AB122" s="110" t="s">
        <v>77</v>
      </c>
      <c r="AC122" s="110" t="s">
        <v>135</v>
      </c>
      <c r="AD122" s="110" t="s">
        <v>47</v>
      </c>
      <c r="AE122" s="110" t="s">
        <v>47</v>
      </c>
      <c r="AF122" s="13"/>
      <c r="AG122" s="13" t="s">
        <v>85</v>
      </c>
      <c r="AH122" s="13" t="s">
        <v>74</v>
      </c>
      <c r="AI122" s="13" t="s">
        <v>84</v>
      </c>
      <c r="AJ122" s="13"/>
      <c r="AK122" s="13" t="s">
        <v>85</v>
      </c>
      <c r="AL122" s="13" t="s">
        <v>74</v>
      </c>
      <c r="AM122" s="13" t="s">
        <v>84</v>
      </c>
      <c r="AN122" s="13"/>
      <c r="AO122" s="110" t="s">
        <v>85</v>
      </c>
      <c r="AP122" s="110" t="s">
        <v>60</v>
      </c>
      <c r="AQ122" s="13">
        <v>0</v>
      </c>
      <c r="AR122" s="13">
        <v>0</v>
      </c>
      <c r="AS122" s="18"/>
    </row>
    <row r="123" spans="1:45">
      <c r="A123" s="117" t="s">
        <v>452</v>
      </c>
      <c r="B123" s="103" t="s">
        <v>281</v>
      </c>
      <c r="C123" s="111" t="s">
        <v>281</v>
      </c>
      <c r="D123" s="111" t="s">
        <v>77</v>
      </c>
      <c r="E123" s="111" t="s">
        <v>78</v>
      </c>
      <c r="F123" s="111" t="s">
        <v>79</v>
      </c>
      <c r="G123" s="111" t="s">
        <v>79</v>
      </c>
      <c r="H123" s="111" t="s">
        <v>47</v>
      </c>
      <c r="I123" s="111" t="s">
        <v>47</v>
      </c>
      <c r="J123" s="14">
        <v>0</v>
      </c>
      <c r="K123" s="14">
        <v>0</v>
      </c>
      <c r="L123" s="111" t="s">
        <v>48</v>
      </c>
      <c r="M123" s="111" t="s">
        <v>69</v>
      </c>
      <c r="N123" s="111" t="s">
        <v>48</v>
      </c>
      <c r="O123" s="14" t="s">
        <v>85</v>
      </c>
      <c r="P123" s="14"/>
      <c r="Q123" s="14" t="s">
        <v>85</v>
      </c>
      <c r="R123" s="14" t="s">
        <v>85</v>
      </c>
      <c r="S123" s="111" t="s">
        <v>47</v>
      </c>
      <c r="T123" s="111" t="s">
        <v>51</v>
      </c>
      <c r="U123" s="14"/>
      <c r="V123" s="111" t="s">
        <v>52</v>
      </c>
      <c r="W123" s="111" t="s">
        <v>81</v>
      </c>
      <c r="X123" s="111" t="s">
        <v>47</v>
      </c>
      <c r="Y123" s="111" t="s">
        <v>54</v>
      </c>
      <c r="Z123" s="111" t="s">
        <v>55</v>
      </c>
      <c r="AA123" s="111" t="s">
        <v>56</v>
      </c>
      <c r="AB123" s="111" t="s">
        <v>77</v>
      </c>
      <c r="AC123" s="111" t="s">
        <v>135</v>
      </c>
      <c r="AD123" s="111" t="s">
        <v>47</v>
      </c>
      <c r="AE123" s="111" t="s">
        <v>47</v>
      </c>
      <c r="AF123" s="14"/>
      <c r="AG123" s="14" t="s">
        <v>85</v>
      </c>
      <c r="AH123" s="14" t="s">
        <v>74</v>
      </c>
      <c r="AI123" s="14" t="s">
        <v>84</v>
      </c>
      <c r="AJ123" s="14"/>
      <c r="AK123" s="14" t="s">
        <v>85</v>
      </c>
      <c r="AL123" s="14" t="s">
        <v>74</v>
      </c>
      <c r="AM123" s="14" t="s">
        <v>84</v>
      </c>
      <c r="AN123" s="14"/>
      <c r="AO123" s="111" t="s">
        <v>85</v>
      </c>
      <c r="AP123" s="111" t="s">
        <v>60</v>
      </c>
      <c r="AQ123" s="14">
        <v>0</v>
      </c>
      <c r="AR123" s="14">
        <v>0</v>
      </c>
      <c r="AS123" s="19"/>
    </row>
    <row r="124" spans="1:45">
      <c r="A124" s="117" t="s">
        <v>453</v>
      </c>
      <c r="B124" s="102" t="s">
        <v>282</v>
      </c>
      <c r="C124" s="110" t="s">
        <v>282</v>
      </c>
      <c r="D124" s="110" t="s">
        <v>77</v>
      </c>
      <c r="E124" s="110" t="s">
        <v>78</v>
      </c>
      <c r="F124" s="110" t="s">
        <v>79</v>
      </c>
      <c r="G124" s="110" t="s">
        <v>79</v>
      </c>
      <c r="H124" s="110" t="s">
        <v>47</v>
      </c>
      <c r="I124" s="110" t="s">
        <v>47</v>
      </c>
      <c r="J124" s="13">
        <v>0</v>
      </c>
      <c r="K124" s="13">
        <v>0</v>
      </c>
      <c r="L124" s="110" t="s">
        <v>48</v>
      </c>
      <c r="M124" s="110" t="s">
        <v>69</v>
      </c>
      <c r="N124" s="110" t="s">
        <v>48</v>
      </c>
      <c r="O124" s="13" t="s">
        <v>85</v>
      </c>
      <c r="P124" s="13"/>
      <c r="Q124" s="13" t="s">
        <v>85</v>
      </c>
      <c r="R124" s="13" t="s">
        <v>85</v>
      </c>
      <c r="S124" s="110" t="s">
        <v>47</v>
      </c>
      <c r="T124" s="110" t="s">
        <v>51</v>
      </c>
      <c r="U124" s="13"/>
      <c r="V124" s="110" t="s">
        <v>52</v>
      </c>
      <c r="W124" s="110" t="s">
        <v>81</v>
      </c>
      <c r="X124" s="110" t="s">
        <v>47</v>
      </c>
      <c r="Y124" s="110" t="s">
        <v>54</v>
      </c>
      <c r="Z124" s="110" t="s">
        <v>55</v>
      </c>
      <c r="AA124" s="110" t="s">
        <v>56</v>
      </c>
      <c r="AB124" s="110" t="s">
        <v>77</v>
      </c>
      <c r="AC124" s="110" t="s">
        <v>135</v>
      </c>
      <c r="AD124" s="110" t="s">
        <v>47</v>
      </c>
      <c r="AE124" s="110" t="s">
        <v>47</v>
      </c>
      <c r="AF124" s="13"/>
      <c r="AG124" s="13" t="s">
        <v>85</v>
      </c>
      <c r="AH124" s="13" t="s">
        <v>74</v>
      </c>
      <c r="AI124" s="13" t="s">
        <v>84</v>
      </c>
      <c r="AJ124" s="13"/>
      <c r="AK124" s="13" t="s">
        <v>85</v>
      </c>
      <c r="AL124" s="13" t="s">
        <v>74</v>
      </c>
      <c r="AM124" s="13" t="s">
        <v>84</v>
      </c>
      <c r="AN124" s="13"/>
      <c r="AO124" s="110" t="s">
        <v>85</v>
      </c>
      <c r="AP124" s="110" t="s">
        <v>60</v>
      </c>
      <c r="AQ124" s="13">
        <v>0</v>
      </c>
      <c r="AR124" s="13">
        <v>0</v>
      </c>
      <c r="AS124" s="18"/>
    </row>
    <row r="125" spans="1:45">
      <c r="A125" s="117" t="s">
        <v>454</v>
      </c>
      <c r="B125" s="103" t="s">
        <v>283</v>
      </c>
      <c r="C125" s="111" t="s">
        <v>284</v>
      </c>
      <c r="D125" s="111" t="s">
        <v>77</v>
      </c>
      <c r="E125" s="111" t="s">
        <v>78</v>
      </c>
      <c r="F125" s="111" t="s">
        <v>79</v>
      </c>
      <c r="G125" s="111" t="s">
        <v>79</v>
      </c>
      <c r="H125" s="111" t="s">
        <v>47</v>
      </c>
      <c r="I125" s="111" t="s">
        <v>47</v>
      </c>
      <c r="J125" s="14">
        <v>0</v>
      </c>
      <c r="K125" s="14">
        <v>0</v>
      </c>
      <c r="L125" s="111" t="s">
        <v>48</v>
      </c>
      <c r="M125" s="111" t="s">
        <v>69</v>
      </c>
      <c r="N125" s="111" t="s">
        <v>48</v>
      </c>
      <c r="O125" s="14" t="s">
        <v>85</v>
      </c>
      <c r="P125" s="14"/>
      <c r="Q125" s="14" t="s">
        <v>85</v>
      </c>
      <c r="R125" s="14" t="s">
        <v>85</v>
      </c>
      <c r="S125" s="111" t="s">
        <v>47</v>
      </c>
      <c r="T125" s="111" t="s">
        <v>110</v>
      </c>
      <c r="U125" s="14"/>
      <c r="V125" s="111" t="s">
        <v>52</v>
      </c>
      <c r="W125" s="111" t="s">
        <v>285</v>
      </c>
      <c r="X125" s="111" t="s">
        <v>47</v>
      </c>
      <c r="Y125" s="111" t="s">
        <v>54</v>
      </c>
      <c r="Z125" s="111" t="s">
        <v>55</v>
      </c>
      <c r="AA125" s="111" t="s">
        <v>56</v>
      </c>
      <c r="AB125" s="111" t="s">
        <v>77</v>
      </c>
      <c r="AC125" s="111" t="s">
        <v>113</v>
      </c>
      <c r="AD125" s="111" t="s">
        <v>47</v>
      </c>
      <c r="AE125" s="111" t="s">
        <v>47</v>
      </c>
      <c r="AF125" s="14"/>
      <c r="AG125" s="14" t="s">
        <v>85</v>
      </c>
      <c r="AH125" s="14" t="s">
        <v>74</v>
      </c>
      <c r="AI125" s="14" t="s">
        <v>286</v>
      </c>
      <c r="AJ125" s="14"/>
      <c r="AK125" s="14" t="s">
        <v>85</v>
      </c>
      <c r="AL125" s="14" t="s">
        <v>74</v>
      </c>
      <c r="AM125" s="14" t="s">
        <v>286</v>
      </c>
      <c r="AN125" s="14"/>
      <c r="AO125" s="111" t="s">
        <v>85</v>
      </c>
      <c r="AP125" s="111" t="s">
        <v>60</v>
      </c>
      <c r="AQ125" s="14">
        <v>0</v>
      </c>
      <c r="AR125" s="14">
        <v>0</v>
      </c>
      <c r="AS125" s="19"/>
    </row>
    <row r="126" spans="1:45">
      <c r="A126" s="117" t="s">
        <v>455</v>
      </c>
      <c r="B126" s="102" t="s">
        <v>287</v>
      </c>
      <c r="C126" s="110" t="s">
        <v>288</v>
      </c>
      <c r="D126" s="110" t="s">
        <v>77</v>
      </c>
      <c r="E126" s="110" t="s">
        <v>78</v>
      </c>
      <c r="F126" s="110" t="s">
        <v>79</v>
      </c>
      <c r="G126" s="110" t="s">
        <v>79</v>
      </c>
      <c r="H126" s="110" t="s">
        <v>47</v>
      </c>
      <c r="I126" s="110" t="s">
        <v>47</v>
      </c>
      <c r="J126" s="13">
        <v>0</v>
      </c>
      <c r="K126" s="13">
        <v>0</v>
      </c>
      <c r="L126" s="110" t="s">
        <v>48</v>
      </c>
      <c r="M126" s="110" t="s">
        <v>69</v>
      </c>
      <c r="N126" s="110" t="s">
        <v>48</v>
      </c>
      <c r="O126" s="13" t="s">
        <v>85</v>
      </c>
      <c r="P126" s="13"/>
      <c r="Q126" s="13" t="s">
        <v>85</v>
      </c>
      <c r="R126" s="13" t="s">
        <v>85</v>
      </c>
      <c r="S126" s="110" t="s">
        <v>47</v>
      </c>
      <c r="T126" s="110" t="s">
        <v>263</v>
      </c>
      <c r="U126" s="13"/>
      <c r="V126" s="110" t="s">
        <v>52</v>
      </c>
      <c r="W126" s="110" t="s">
        <v>134</v>
      </c>
      <c r="X126" s="110" t="s">
        <v>47</v>
      </c>
      <c r="Y126" s="110" t="s">
        <v>54</v>
      </c>
      <c r="Z126" s="110" t="s">
        <v>55</v>
      </c>
      <c r="AA126" s="110" t="s">
        <v>56</v>
      </c>
      <c r="AB126" s="110" t="s">
        <v>77</v>
      </c>
      <c r="AC126" s="110" t="s">
        <v>260</v>
      </c>
      <c r="AD126" s="110" t="s">
        <v>47</v>
      </c>
      <c r="AE126" s="110" t="s">
        <v>47</v>
      </c>
      <c r="AF126" s="13"/>
      <c r="AG126" s="13" t="s">
        <v>85</v>
      </c>
      <c r="AH126" s="13" t="s">
        <v>74</v>
      </c>
      <c r="AI126" s="13" t="s">
        <v>84</v>
      </c>
      <c r="AJ126" s="13"/>
      <c r="AK126" s="13" t="s">
        <v>85</v>
      </c>
      <c r="AL126" s="13" t="s">
        <v>74</v>
      </c>
      <c r="AM126" s="13" t="s">
        <v>84</v>
      </c>
      <c r="AN126" s="13"/>
      <c r="AO126" s="110" t="s">
        <v>85</v>
      </c>
      <c r="AP126" s="110" t="s">
        <v>60</v>
      </c>
      <c r="AQ126" s="13">
        <v>0</v>
      </c>
      <c r="AR126" s="13">
        <v>0</v>
      </c>
      <c r="AS126" s="18"/>
    </row>
    <row r="127" spans="1:45">
      <c r="A127" s="117" t="s">
        <v>456</v>
      </c>
      <c r="B127" s="103" t="s">
        <v>289</v>
      </c>
      <c r="C127" s="111" t="s">
        <v>290</v>
      </c>
      <c r="D127" s="111" t="s">
        <v>77</v>
      </c>
      <c r="E127" s="111" t="s">
        <v>78</v>
      </c>
      <c r="F127" s="111" t="s">
        <v>79</v>
      </c>
      <c r="G127" s="111" t="s">
        <v>79</v>
      </c>
      <c r="H127" s="111" t="s">
        <v>47</v>
      </c>
      <c r="I127" s="111" t="s">
        <v>47</v>
      </c>
      <c r="J127" s="14">
        <v>0</v>
      </c>
      <c r="K127" s="14">
        <v>0</v>
      </c>
      <c r="L127" s="111" t="s">
        <v>48</v>
      </c>
      <c r="M127" s="111" t="s">
        <v>69</v>
      </c>
      <c r="N127" s="111" t="s">
        <v>48</v>
      </c>
      <c r="O127" s="14" t="s">
        <v>85</v>
      </c>
      <c r="P127" s="14"/>
      <c r="Q127" s="14" t="s">
        <v>85</v>
      </c>
      <c r="R127" s="14" t="s">
        <v>85</v>
      </c>
      <c r="S127" s="111" t="s">
        <v>289</v>
      </c>
      <c r="T127" s="111" t="s">
        <v>263</v>
      </c>
      <c r="U127" s="14"/>
      <c r="V127" s="111" t="s">
        <v>52</v>
      </c>
      <c r="W127" s="111" t="s">
        <v>134</v>
      </c>
      <c r="X127" s="111" t="s">
        <v>47</v>
      </c>
      <c r="Y127" s="111" t="s">
        <v>54</v>
      </c>
      <c r="Z127" s="111" t="s">
        <v>55</v>
      </c>
      <c r="AA127" s="111" t="s">
        <v>56</v>
      </c>
      <c r="AB127" s="111" t="s">
        <v>77</v>
      </c>
      <c r="AC127" s="111" t="s">
        <v>260</v>
      </c>
      <c r="AD127" s="111" t="s">
        <v>47</v>
      </c>
      <c r="AE127" s="111" t="s">
        <v>47</v>
      </c>
      <c r="AF127" s="14"/>
      <c r="AG127" s="14" t="s">
        <v>85</v>
      </c>
      <c r="AH127" s="14" t="s">
        <v>74</v>
      </c>
      <c r="AI127" s="14" t="s">
        <v>84</v>
      </c>
      <c r="AJ127" s="14"/>
      <c r="AK127" s="14" t="s">
        <v>85</v>
      </c>
      <c r="AL127" s="14" t="s">
        <v>74</v>
      </c>
      <c r="AM127" s="14" t="s">
        <v>84</v>
      </c>
      <c r="AN127" s="14"/>
      <c r="AO127" s="111" t="s">
        <v>85</v>
      </c>
      <c r="AP127" s="111" t="s">
        <v>60</v>
      </c>
      <c r="AQ127" s="14">
        <v>0</v>
      </c>
      <c r="AR127" s="14">
        <v>0</v>
      </c>
      <c r="AS127" s="19"/>
    </row>
    <row r="128" spans="1:45">
      <c r="A128" s="117" t="s">
        <v>292</v>
      </c>
      <c r="B128" s="102" t="s">
        <v>291</v>
      </c>
      <c r="C128" s="110" t="s">
        <v>292</v>
      </c>
      <c r="D128" s="110" t="s">
        <v>77</v>
      </c>
      <c r="E128" s="110" t="s">
        <v>78</v>
      </c>
      <c r="F128" s="110" t="s">
        <v>79</v>
      </c>
      <c r="G128" s="110" t="s">
        <v>79</v>
      </c>
      <c r="H128" s="110" t="s">
        <v>47</v>
      </c>
      <c r="I128" s="110" t="s">
        <v>47</v>
      </c>
      <c r="J128" s="13">
        <v>0</v>
      </c>
      <c r="K128" s="13">
        <v>0</v>
      </c>
      <c r="L128" s="110" t="s">
        <v>48</v>
      </c>
      <c r="M128" s="110" t="s">
        <v>69</v>
      </c>
      <c r="N128" s="110" t="s">
        <v>48</v>
      </c>
      <c r="O128" s="13" t="s">
        <v>85</v>
      </c>
      <c r="P128" s="13"/>
      <c r="Q128" s="13" t="s">
        <v>85</v>
      </c>
      <c r="R128" s="13" t="s">
        <v>85</v>
      </c>
      <c r="S128" s="110" t="s">
        <v>47</v>
      </c>
      <c r="T128" s="110" t="s">
        <v>263</v>
      </c>
      <c r="U128" s="13"/>
      <c r="V128" s="110" t="s">
        <v>52</v>
      </c>
      <c r="W128" s="110" t="s">
        <v>293</v>
      </c>
      <c r="X128" s="110" t="s">
        <v>47</v>
      </c>
      <c r="Y128" s="110" t="s">
        <v>54</v>
      </c>
      <c r="Z128" s="110" t="s">
        <v>55</v>
      </c>
      <c r="AA128" s="110" t="s">
        <v>56</v>
      </c>
      <c r="AB128" s="110" t="s">
        <v>77</v>
      </c>
      <c r="AC128" s="110" t="s">
        <v>294</v>
      </c>
      <c r="AD128" s="110" t="s">
        <v>47</v>
      </c>
      <c r="AE128" s="110" t="s">
        <v>47</v>
      </c>
      <c r="AF128" s="13"/>
      <c r="AG128" s="13" t="s">
        <v>85</v>
      </c>
      <c r="AH128" s="13" t="s">
        <v>74</v>
      </c>
      <c r="AI128" s="13" t="s">
        <v>84</v>
      </c>
      <c r="AJ128" s="13"/>
      <c r="AK128" s="13" t="s">
        <v>85</v>
      </c>
      <c r="AL128" s="13" t="s">
        <v>74</v>
      </c>
      <c r="AM128" s="13" t="s">
        <v>84</v>
      </c>
      <c r="AN128" s="13"/>
      <c r="AO128" s="110" t="s">
        <v>85</v>
      </c>
      <c r="AP128" s="110" t="s">
        <v>60</v>
      </c>
      <c r="AQ128" s="13">
        <v>0</v>
      </c>
      <c r="AR128" s="13">
        <v>0</v>
      </c>
      <c r="AS128" s="18"/>
    </row>
    <row r="129" spans="1:45">
      <c r="A129" s="117" t="s">
        <v>457</v>
      </c>
      <c r="B129" s="103" t="s">
        <v>295</v>
      </c>
      <c r="C129" s="111" t="s">
        <v>296</v>
      </c>
      <c r="D129" s="111" t="s">
        <v>77</v>
      </c>
      <c r="E129" s="111" t="s">
        <v>79</v>
      </c>
      <c r="F129" s="111" t="s">
        <v>79</v>
      </c>
      <c r="G129" s="111" t="s">
        <v>79</v>
      </c>
      <c r="H129" s="111" t="s">
        <v>47</v>
      </c>
      <c r="I129" s="111" t="s">
        <v>47</v>
      </c>
      <c r="J129" s="14">
        <v>0</v>
      </c>
      <c r="K129" s="14">
        <v>0</v>
      </c>
      <c r="L129" s="111" t="s">
        <v>48</v>
      </c>
      <c r="M129" s="111" t="s">
        <v>69</v>
      </c>
      <c r="N129" s="111" t="s">
        <v>48</v>
      </c>
      <c r="O129" s="14" t="s">
        <v>85</v>
      </c>
      <c r="P129" s="14"/>
      <c r="Q129" s="14" t="s">
        <v>85</v>
      </c>
      <c r="R129" s="14" t="s">
        <v>85</v>
      </c>
      <c r="S129" s="111" t="s">
        <v>47</v>
      </c>
      <c r="T129" s="111" t="s">
        <v>263</v>
      </c>
      <c r="U129" s="14"/>
      <c r="V129" s="111" t="s">
        <v>52</v>
      </c>
      <c r="W129" s="111" t="s">
        <v>297</v>
      </c>
      <c r="X129" s="111" t="s">
        <v>47</v>
      </c>
      <c r="Y129" s="111" t="s">
        <v>54</v>
      </c>
      <c r="Z129" s="111" t="s">
        <v>55</v>
      </c>
      <c r="AA129" s="111" t="s">
        <v>56</v>
      </c>
      <c r="AB129" s="111" t="s">
        <v>77</v>
      </c>
      <c r="AC129" s="111" t="s">
        <v>260</v>
      </c>
      <c r="AD129" s="111" t="s">
        <v>47</v>
      </c>
      <c r="AE129" s="111" t="s">
        <v>47</v>
      </c>
      <c r="AF129" s="14"/>
      <c r="AG129" s="14" t="s">
        <v>85</v>
      </c>
      <c r="AH129" s="14" t="s">
        <v>74</v>
      </c>
      <c r="AI129" s="14" t="s">
        <v>84</v>
      </c>
      <c r="AJ129" s="14"/>
      <c r="AK129" s="14" t="s">
        <v>85</v>
      </c>
      <c r="AL129" s="14" t="s">
        <v>74</v>
      </c>
      <c r="AM129" s="14" t="s">
        <v>84</v>
      </c>
      <c r="AN129" s="14"/>
      <c r="AO129" s="111" t="s">
        <v>85</v>
      </c>
      <c r="AP129" s="111" t="s">
        <v>60</v>
      </c>
      <c r="AQ129" s="14">
        <v>0</v>
      </c>
      <c r="AR129" s="14">
        <v>0</v>
      </c>
      <c r="AS129" s="19"/>
    </row>
    <row r="130" spans="1:45">
      <c r="A130" s="117" t="s">
        <v>458</v>
      </c>
      <c r="B130" s="102" t="s">
        <v>298</v>
      </c>
      <c r="C130" s="110" t="s">
        <v>298</v>
      </c>
      <c r="D130" s="110" t="s">
        <v>77</v>
      </c>
      <c r="E130" s="110" t="s">
        <v>78</v>
      </c>
      <c r="F130" s="110" t="s">
        <v>79</v>
      </c>
      <c r="G130" s="110" t="s">
        <v>79</v>
      </c>
      <c r="H130" s="110" t="s">
        <v>47</v>
      </c>
      <c r="I130" s="110" t="s">
        <v>47</v>
      </c>
      <c r="J130" s="13">
        <v>0</v>
      </c>
      <c r="K130" s="13">
        <v>0</v>
      </c>
      <c r="L130" s="110" t="s">
        <v>48</v>
      </c>
      <c r="M130" s="110" t="s">
        <v>69</v>
      </c>
      <c r="N130" s="110" t="s">
        <v>48</v>
      </c>
      <c r="O130" s="13" t="s">
        <v>85</v>
      </c>
      <c r="P130" s="13"/>
      <c r="Q130" s="13" t="s">
        <v>85</v>
      </c>
      <c r="R130" s="13" t="s">
        <v>85</v>
      </c>
      <c r="S130" s="110" t="s">
        <v>47</v>
      </c>
      <c r="T130" s="110" t="s">
        <v>51</v>
      </c>
      <c r="U130" s="13"/>
      <c r="V130" s="110" t="s">
        <v>52</v>
      </c>
      <c r="W130" s="110" t="s">
        <v>299</v>
      </c>
      <c r="X130" s="110" t="s">
        <v>47</v>
      </c>
      <c r="Y130" s="110" t="s">
        <v>54</v>
      </c>
      <c r="Z130" s="110" t="s">
        <v>55</v>
      </c>
      <c r="AA130" s="110" t="s">
        <v>56</v>
      </c>
      <c r="AB130" s="110" t="s">
        <v>77</v>
      </c>
      <c r="AC130" s="110" t="s">
        <v>277</v>
      </c>
      <c r="AD130" s="110" t="s">
        <v>47</v>
      </c>
      <c r="AE130" s="110" t="s">
        <v>47</v>
      </c>
      <c r="AF130" s="13"/>
      <c r="AG130" s="13" t="s">
        <v>85</v>
      </c>
      <c r="AH130" s="13" t="s">
        <v>74</v>
      </c>
      <c r="AI130" s="13" t="s">
        <v>84</v>
      </c>
      <c r="AJ130" s="13"/>
      <c r="AK130" s="13" t="s">
        <v>85</v>
      </c>
      <c r="AL130" s="13" t="s">
        <v>74</v>
      </c>
      <c r="AM130" s="13" t="s">
        <v>84</v>
      </c>
      <c r="AN130" s="13"/>
      <c r="AO130" s="110" t="s">
        <v>85</v>
      </c>
      <c r="AP130" s="110" t="s">
        <v>60</v>
      </c>
      <c r="AQ130" s="13">
        <v>0</v>
      </c>
      <c r="AR130" s="13">
        <v>0</v>
      </c>
      <c r="AS130" s="18"/>
    </row>
    <row r="131" spans="1:45">
      <c r="A131" s="117" t="s">
        <v>300</v>
      </c>
      <c r="B131" s="103" t="s">
        <v>300</v>
      </c>
      <c r="C131" s="111" t="s">
        <v>300</v>
      </c>
      <c r="D131" s="111" t="s">
        <v>77</v>
      </c>
      <c r="E131" s="111" t="s">
        <v>78</v>
      </c>
      <c r="F131" s="111" t="s">
        <v>79</v>
      </c>
      <c r="G131" s="111" t="s">
        <v>79</v>
      </c>
      <c r="H131" s="111" t="s">
        <v>47</v>
      </c>
      <c r="I131" s="111" t="s">
        <v>47</v>
      </c>
      <c r="J131" s="14">
        <v>0</v>
      </c>
      <c r="K131" s="14">
        <v>0</v>
      </c>
      <c r="L131" s="111" t="s">
        <v>48</v>
      </c>
      <c r="M131" s="111" t="s">
        <v>69</v>
      </c>
      <c r="N131" s="111" t="s">
        <v>48</v>
      </c>
      <c r="O131" s="14" t="s">
        <v>85</v>
      </c>
      <c r="P131" s="14"/>
      <c r="Q131" s="14" t="s">
        <v>85</v>
      </c>
      <c r="R131" s="14" t="s">
        <v>85</v>
      </c>
      <c r="S131" s="111" t="s">
        <v>47</v>
      </c>
      <c r="T131" s="111" t="s">
        <v>51</v>
      </c>
      <c r="U131" s="14"/>
      <c r="V131" s="111" t="s">
        <v>52</v>
      </c>
      <c r="W131" s="111" t="s">
        <v>275</v>
      </c>
      <c r="X131" s="111" t="s">
        <v>47</v>
      </c>
      <c r="Y131" s="111" t="s">
        <v>54</v>
      </c>
      <c r="Z131" s="111" t="s">
        <v>55</v>
      </c>
      <c r="AA131" s="111" t="s">
        <v>56</v>
      </c>
      <c r="AB131" s="111" t="s">
        <v>77</v>
      </c>
      <c r="AC131" s="111" t="s">
        <v>135</v>
      </c>
      <c r="AD131" s="111" t="s">
        <v>47</v>
      </c>
      <c r="AE131" s="111" t="s">
        <v>47</v>
      </c>
      <c r="AF131" s="14"/>
      <c r="AG131" s="14" t="s">
        <v>85</v>
      </c>
      <c r="AH131" s="14" t="s">
        <v>74</v>
      </c>
      <c r="AI131" s="14" t="s">
        <v>84</v>
      </c>
      <c r="AJ131" s="14"/>
      <c r="AK131" s="14" t="s">
        <v>85</v>
      </c>
      <c r="AL131" s="14" t="s">
        <v>74</v>
      </c>
      <c r="AM131" s="14" t="s">
        <v>84</v>
      </c>
      <c r="AN131" s="14"/>
      <c r="AO131" s="111" t="s">
        <v>85</v>
      </c>
      <c r="AP131" s="111" t="s">
        <v>60</v>
      </c>
      <c r="AQ131" s="14">
        <v>0</v>
      </c>
      <c r="AR131" s="14">
        <v>0</v>
      </c>
      <c r="AS131" s="19"/>
    </row>
    <row r="132" spans="1:45">
      <c r="A132" s="117" t="s">
        <v>459</v>
      </c>
      <c r="B132" s="102" t="s">
        <v>301</v>
      </c>
      <c r="C132" s="110" t="s">
        <v>301</v>
      </c>
      <c r="D132" s="110" t="s">
        <v>77</v>
      </c>
      <c r="E132" s="110" t="s">
        <v>78</v>
      </c>
      <c r="F132" s="110" t="s">
        <v>79</v>
      </c>
      <c r="G132" s="110" t="s">
        <v>79</v>
      </c>
      <c r="H132" s="110" t="s">
        <v>47</v>
      </c>
      <c r="I132" s="110" t="s">
        <v>47</v>
      </c>
      <c r="J132" s="13">
        <v>0</v>
      </c>
      <c r="K132" s="13">
        <v>0</v>
      </c>
      <c r="L132" s="110" t="s">
        <v>48</v>
      </c>
      <c r="M132" s="110" t="s">
        <v>69</v>
      </c>
      <c r="N132" s="110" t="s">
        <v>48</v>
      </c>
      <c r="O132" s="13" t="s">
        <v>85</v>
      </c>
      <c r="P132" s="13"/>
      <c r="Q132" s="13" t="s">
        <v>85</v>
      </c>
      <c r="R132" s="13" t="s">
        <v>85</v>
      </c>
      <c r="S132" s="110" t="s">
        <v>47</v>
      </c>
      <c r="T132" s="110" t="s">
        <v>51</v>
      </c>
      <c r="U132" s="13"/>
      <c r="V132" s="110" t="s">
        <v>52</v>
      </c>
      <c r="W132" s="110" t="s">
        <v>81</v>
      </c>
      <c r="X132" s="110" t="s">
        <v>47</v>
      </c>
      <c r="Y132" s="110" t="s">
        <v>54</v>
      </c>
      <c r="Z132" s="110" t="s">
        <v>55</v>
      </c>
      <c r="AA132" s="110" t="s">
        <v>56</v>
      </c>
      <c r="AB132" s="110" t="s">
        <v>77</v>
      </c>
      <c r="AC132" s="110" t="s">
        <v>135</v>
      </c>
      <c r="AD132" s="110" t="s">
        <v>47</v>
      </c>
      <c r="AE132" s="110" t="s">
        <v>47</v>
      </c>
      <c r="AF132" s="13"/>
      <c r="AG132" s="13" t="s">
        <v>85</v>
      </c>
      <c r="AH132" s="13" t="s">
        <v>74</v>
      </c>
      <c r="AI132" s="13" t="s">
        <v>84</v>
      </c>
      <c r="AJ132" s="13"/>
      <c r="AK132" s="13" t="s">
        <v>85</v>
      </c>
      <c r="AL132" s="13" t="s">
        <v>74</v>
      </c>
      <c r="AM132" s="13" t="s">
        <v>84</v>
      </c>
      <c r="AN132" s="13"/>
      <c r="AO132" s="110" t="s">
        <v>85</v>
      </c>
      <c r="AP132" s="110" t="s">
        <v>60</v>
      </c>
      <c r="AQ132" s="13">
        <v>0</v>
      </c>
      <c r="AR132" s="13">
        <v>0</v>
      </c>
      <c r="AS132" s="18"/>
    </row>
    <row r="133" spans="1:45" ht="15">
      <c r="A133" s="117" t="s">
        <v>302</v>
      </c>
      <c r="B133" s="6" t="s">
        <v>494</v>
      </c>
      <c r="C133" s="7" t="s">
        <v>421</v>
      </c>
      <c r="D133" s="109" t="s">
        <v>66</v>
      </c>
      <c r="E133" s="109" t="s">
        <v>66</v>
      </c>
      <c r="F133" s="109" t="s">
        <v>45</v>
      </c>
      <c r="G133" s="109" t="s">
        <v>67</v>
      </c>
      <c r="H133" s="113"/>
      <c r="I133" s="113"/>
      <c r="J133" s="16">
        <v>1</v>
      </c>
      <c r="K133" s="16">
        <v>0</v>
      </c>
      <c r="L133" s="111" t="s">
        <v>371</v>
      </c>
      <c r="M133" s="111" t="s">
        <v>69</v>
      </c>
      <c r="N133" s="111" t="s">
        <v>372</v>
      </c>
      <c r="O133" s="16" t="s">
        <v>373</v>
      </c>
      <c r="P133" s="14">
        <v>50</v>
      </c>
      <c r="Q133" s="14" t="s">
        <v>374</v>
      </c>
      <c r="R133" s="14" t="s">
        <v>374</v>
      </c>
      <c r="S133" s="113"/>
      <c r="T133" s="113"/>
      <c r="U133" s="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6"/>
      <c r="AG133" s="16" t="e">
        <f ca="1">_xll.AtlasFormulas.AtlasFunctions.AtlasTable("PROD",DataAreaId,"T.InventTableModule","%UnitId","","","","","","","ItemId|ModuleType",$B133,"Purch")</f>
        <v>#NAME?</v>
      </c>
      <c r="AH133" s="16" t="e">
        <f ca="1">_xll.AtlasFormulas.AtlasFunctions.AtlasTable("PROD",DataAreaId,"T.InventTableModule","%MarkupGroupId","","","","","","","ItemId|ModuleType",$B133,"Purch")</f>
        <v>#NAME?</v>
      </c>
      <c r="AI133" s="16" t="e">
        <f ca="1">_xll.AtlasFormulas.AtlasFunctions.AtlasTable("PROD",DataAreaId,"T.InventTableModule","%TaxItemGroupId","","","","","","","ItemId|ModuleType",$B133,"Purch")</f>
        <v>#NAME?</v>
      </c>
      <c r="AJ133" s="16"/>
      <c r="AK133" s="16" t="e">
        <f ca="1">_xll.AtlasFormulas.AtlasFunctions.AtlasTable("QA",DataAreaId,"T.InventTableModule","%UnitId","","","","","","","ItemId|ModuleType",$B133,"Sales")</f>
        <v>#NAME?</v>
      </c>
      <c r="AL133" s="16" t="e">
        <f ca="1">_xll.AtlasFormulas.AtlasFunctions.AtlasTable("PROD",DataAreaId,"T.InventTableModule","%MarkupGroupId","","","","","","","ItemId|ModuleType",$B133,"Sales")</f>
        <v>#NAME?</v>
      </c>
      <c r="AM133" s="16" t="e">
        <f ca="1">_xll.AtlasFormulas.AtlasFunctions.AtlasTable("QA",DataAreaId,"T.InventTableModule","%TaxItemGroupId","","","","","","","ItemId|ModuleType",$B133,"Sales")</f>
        <v>#NAME?</v>
      </c>
      <c r="AN133" s="16" t="e">
        <f ca="1">_xll.AtlasFormulas.AtlasFunctions.AtlasTable("QA",DataAreaId,"T.InventTableModule","%LineDisc","","","","","","","ItemId|ModuleType",$B133,"Sales")</f>
        <v>#NAME?</v>
      </c>
      <c r="AO133" s="113"/>
      <c r="AP133" s="113"/>
      <c r="AQ133" s="16" t="e">
        <f ca="1">_xll.AtlasFormulas.AtlasFunctions.AtlasBalance("QA",DataAreaId,"T.InventItemInventSetup","Sum|StandardQty|0","","","","","","","InventDimId|ItemId","Ax#1",$B133)</f>
        <v>#NAME?</v>
      </c>
      <c r="AR133" s="16" t="e">
        <f ca="1">_xll.AtlasFormulas.AtlasFunctions.AtlasBalance("QA",DataAreaId,"T.InventTableModule","Sum|Price|0","","","","","","","ItemId|ModuleType",$B133,"Invent")</f>
        <v>#NAME?</v>
      </c>
      <c r="AS133" s="114"/>
    </row>
    <row r="134" spans="1:45" ht="15">
      <c r="A134" s="117" t="s">
        <v>303</v>
      </c>
      <c r="B134" s="6" t="s">
        <v>495</v>
      </c>
      <c r="C134" s="7" t="s">
        <v>304</v>
      </c>
      <c r="D134" s="109" t="s">
        <v>66</v>
      </c>
      <c r="E134" s="109" t="s">
        <v>66</v>
      </c>
      <c r="F134" s="109" t="s">
        <v>45</v>
      </c>
      <c r="G134" s="109" t="s">
        <v>67</v>
      </c>
      <c r="H134" s="115"/>
      <c r="I134" s="115"/>
      <c r="J134" s="15">
        <v>1</v>
      </c>
      <c r="K134" s="15">
        <v>0</v>
      </c>
      <c r="L134" s="110" t="s">
        <v>68</v>
      </c>
      <c r="M134" s="110" t="s">
        <v>69</v>
      </c>
      <c r="N134" s="110" t="s">
        <v>70</v>
      </c>
      <c r="O134" s="15" t="s">
        <v>71</v>
      </c>
      <c r="P134" s="13">
        <v>25</v>
      </c>
      <c r="Q134" s="13" t="s">
        <v>93</v>
      </c>
      <c r="R134" s="13" t="s">
        <v>93</v>
      </c>
      <c r="S134" s="115"/>
      <c r="T134" s="115"/>
      <c r="U134" s="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5"/>
      <c r="AG134" s="15" t="e">
        <f ca="1">_xll.AtlasFormulas.AtlasFunctions.AtlasTable("PROD",DataAreaId,"T.InventTableModule","%UnitId","","","","","","","ItemId|ModuleType",$B134,"Purch")</f>
        <v>#NAME?</v>
      </c>
      <c r="AH134" s="15" t="e">
        <f ca="1">_xll.AtlasFormulas.AtlasFunctions.AtlasTable("PROD",DataAreaId,"T.InventTableModule","%MarkupGroupId","","","","","","","ItemId|ModuleType",$B134,"Purch")</f>
        <v>#NAME?</v>
      </c>
      <c r="AI134" s="15" t="e">
        <f ca="1">_xll.AtlasFormulas.AtlasFunctions.AtlasTable("PROD",DataAreaId,"T.InventTableModule","%TaxItemGroupId","","","","","","","ItemId|ModuleType",$B134,"Purch")</f>
        <v>#NAME?</v>
      </c>
      <c r="AJ134" s="15"/>
      <c r="AK134" s="15" t="e">
        <f ca="1">_xll.AtlasFormulas.AtlasFunctions.AtlasTable("QA",DataAreaId,"T.InventTableModule","%UnitId","","","","","","","ItemId|ModuleType",$B134,"Sales")</f>
        <v>#NAME?</v>
      </c>
      <c r="AL134" s="15" t="e">
        <f ca="1">_xll.AtlasFormulas.AtlasFunctions.AtlasTable("PROD",DataAreaId,"T.InventTableModule","%MarkupGroupId","","","","","","","ItemId|ModuleType",$B134,"Sales")</f>
        <v>#NAME?</v>
      </c>
      <c r="AM134" s="15" t="e">
        <f ca="1">_xll.AtlasFormulas.AtlasFunctions.AtlasTable("QA",DataAreaId,"T.InventTableModule","%TaxItemGroupId","","","","","","","ItemId|ModuleType",$B134,"Sales")</f>
        <v>#NAME?</v>
      </c>
      <c r="AN134" s="15" t="e">
        <f ca="1">_xll.AtlasFormulas.AtlasFunctions.AtlasTable("QA",DataAreaId,"T.InventTableModule","%LineDisc","","","","","","","ItemId|ModuleType",$B134,"Sales")</f>
        <v>#NAME?</v>
      </c>
      <c r="AO134" s="115"/>
      <c r="AP134" s="115"/>
      <c r="AQ134" s="15" t="e">
        <f ca="1">_xll.AtlasFormulas.AtlasFunctions.AtlasBalance("QA",DataAreaId,"T.InventItemInventSetup","Sum|StandardQty|0","","","","","","","InventDimId|ItemId","Ax#1",$B134)</f>
        <v>#NAME?</v>
      </c>
      <c r="AR134" s="15" t="e">
        <f ca="1">_xll.AtlasFormulas.AtlasFunctions.AtlasBalance("QA",DataAreaId,"T.InventTableModule","Sum|Price|0","","","","","","","ItemId|ModuleType",$B134,"Invent")</f>
        <v>#NAME?</v>
      </c>
      <c r="AS134" s="116"/>
    </row>
    <row r="135" spans="1:45" ht="15">
      <c r="A135" s="117" t="s">
        <v>305</v>
      </c>
      <c r="B135" s="10" t="s">
        <v>635</v>
      </c>
      <c r="C135" s="17" t="s">
        <v>306</v>
      </c>
      <c r="D135" s="109" t="s">
        <v>66</v>
      </c>
      <c r="E135" s="109" t="s">
        <v>66</v>
      </c>
      <c r="F135" s="109" t="s">
        <v>45</v>
      </c>
      <c r="G135" s="109" t="s">
        <v>67</v>
      </c>
      <c r="H135" s="113"/>
      <c r="I135" s="113"/>
      <c r="J135" s="16">
        <v>1</v>
      </c>
      <c r="K135" s="16">
        <v>0</v>
      </c>
      <c r="L135" s="111" t="s">
        <v>68</v>
      </c>
      <c r="M135" s="111" t="s">
        <v>69</v>
      </c>
      <c r="N135" s="111" t="s">
        <v>70</v>
      </c>
      <c r="O135" s="16" t="s">
        <v>71</v>
      </c>
      <c r="P135" s="16">
        <v>1</v>
      </c>
      <c r="Q135" s="16" t="s">
        <v>71</v>
      </c>
      <c r="R135" s="16" t="s">
        <v>71</v>
      </c>
      <c r="S135" s="113"/>
      <c r="T135" s="113"/>
      <c r="U135" s="16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6"/>
      <c r="AG135" s="16" t="e">
        <f ca="1">_xll.AtlasFormulas.AtlasFunctions.AtlasTable("PROD",DataAreaId,"T.InventTableModule","%UnitId","","","","","","","ItemId|ModuleType",$B135,"Purch")</f>
        <v>#NAME?</v>
      </c>
      <c r="AH135" s="16" t="e">
        <f ca="1">_xll.AtlasFormulas.AtlasFunctions.AtlasTable("PROD",DataAreaId,"T.InventTableModule","%MarkupGroupId","","","","","","","ItemId|ModuleType",$B135,"Purch")</f>
        <v>#NAME?</v>
      </c>
      <c r="AI135" s="16" t="e">
        <f ca="1">_xll.AtlasFormulas.AtlasFunctions.AtlasTable("PROD",DataAreaId,"T.InventTableModule","%TaxItemGroupId","","","","","","","ItemId|ModuleType",$B135,"Purch")</f>
        <v>#NAME?</v>
      </c>
      <c r="AJ135" s="16"/>
      <c r="AK135" s="16" t="e">
        <f ca="1">_xll.AtlasFormulas.AtlasFunctions.AtlasTable("QA",DataAreaId,"T.InventTableModule","%UnitId","","","","","","","ItemId|ModuleType",$B135,"Sales")</f>
        <v>#NAME?</v>
      </c>
      <c r="AL135" s="16" t="e">
        <f ca="1">_xll.AtlasFormulas.AtlasFunctions.AtlasTable("PROD",DataAreaId,"T.InventTableModule","%MarkupGroupId","","","","","","","ItemId|ModuleType",$B135,"Sales")</f>
        <v>#NAME?</v>
      </c>
      <c r="AM135" s="16" t="e">
        <f ca="1">_xll.AtlasFormulas.AtlasFunctions.AtlasTable("QA",DataAreaId,"T.InventTableModule","%TaxItemGroupId","","","","","","","ItemId|ModuleType",$B135,"Sales")</f>
        <v>#NAME?</v>
      </c>
      <c r="AN135" s="16" t="e">
        <f ca="1">_xll.AtlasFormulas.AtlasFunctions.AtlasTable("QA",DataAreaId,"T.InventTableModule","%LineDisc","","","","","","","ItemId|ModuleType",$B135,"Sales")</f>
        <v>#NAME?</v>
      </c>
      <c r="AO135" s="113"/>
      <c r="AP135" s="113"/>
      <c r="AQ135" s="16" t="e">
        <f ca="1">_xll.AtlasFormulas.AtlasFunctions.AtlasBalance("QA",DataAreaId,"T.InventItemInventSetup","Sum|StandardQty|0","","","","","","","InventDimId|ItemId","Ax#1",$B135)</f>
        <v>#NAME?</v>
      </c>
      <c r="AR135" s="16" t="e">
        <f ca="1">_xll.AtlasFormulas.AtlasFunctions.AtlasBalance("QA",DataAreaId,"T.InventTableModule","Sum|Price|0","","","","","","","ItemId|ModuleType",$B135,"Invent")</f>
        <v>#NAME?</v>
      </c>
      <c r="AS135" s="114"/>
    </row>
    <row r="136" spans="1:45" s="2" customFormat="1">
      <c r="A136" s="3" t="s">
        <v>310</v>
      </c>
      <c r="B136" s="3" t="s">
        <v>310</v>
      </c>
      <c r="C136" s="3" t="s">
        <v>312</v>
      </c>
      <c r="D136" s="3" t="s">
        <v>77</v>
      </c>
      <c r="E136" s="3" t="s">
        <v>78</v>
      </c>
      <c r="F136" s="3" t="s">
        <v>79</v>
      </c>
      <c r="G136" s="3" t="s">
        <v>79</v>
      </c>
      <c r="H136" s="3"/>
      <c r="I136" s="3"/>
      <c r="J136" s="3"/>
      <c r="K136" s="3"/>
      <c r="L136" s="3"/>
      <c r="M136" s="3"/>
      <c r="N136" s="3"/>
      <c r="O136" s="5" t="s">
        <v>314</v>
      </c>
      <c r="P136" s="5"/>
      <c r="Q136" s="5" t="s">
        <v>85</v>
      </c>
      <c r="R136" s="5" t="s">
        <v>85</v>
      </c>
      <c r="S136" s="3" t="s">
        <v>52</v>
      </c>
      <c r="T136" s="3">
        <v>200</v>
      </c>
      <c r="U136" s="3" t="s">
        <v>47</v>
      </c>
      <c r="V136" s="3" t="s">
        <v>54</v>
      </c>
      <c r="W136" s="3" t="s">
        <v>55</v>
      </c>
      <c r="X136" s="3" t="s">
        <v>56</v>
      </c>
      <c r="Y136" s="3" t="s">
        <v>317</v>
      </c>
      <c r="Z136" s="3" t="s">
        <v>318</v>
      </c>
      <c r="AA136" s="3" t="s">
        <v>47</v>
      </c>
      <c r="AB136" s="3" t="s">
        <v>47</v>
      </c>
      <c r="AC136" s="5">
        <v>0</v>
      </c>
    </row>
    <row r="137" spans="1:45" s="2" customFormat="1">
      <c r="A137" s="3" t="s">
        <v>311</v>
      </c>
      <c r="B137" s="3" t="s">
        <v>311</v>
      </c>
      <c r="C137" s="3" t="s">
        <v>313</v>
      </c>
      <c r="D137" s="3" t="s">
        <v>77</v>
      </c>
      <c r="E137" s="3" t="s">
        <v>78</v>
      </c>
      <c r="F137" s="3" t="s">
        <v>79</v>
      </c>
      <c r="G137" s="3" t="s">
        <v>79</v>
      </c>
      <c r="H137" s="3"/>
      <c r="I137" s="3"/>
      <c r="J137" s="3"/>
      <c r="K137" s="3"/>
      <c r="L137" s="3"/>
      <c r="M137" s="3"/>
      <c r="N137" s="3"/>
      <c r="O137" s="5" t="s">
        <v>314</v>
      </c>
      <c r="P137" s="5"/>
      <c r="Q137" s="5" t="s">
        <v>85</v>
      </c>
      <c r="R137" s="5" t="s">
        <v>85</v>
      </c>
      <c r="S137" s="3" t="s">
        <v>52</v>
      </c>
      <c r="T137" s="3" t="s">
        <v>81</v>
      </c>
      <c r="U137" s="3" t="s">
        <v>47</v>
      </c>
      <c r="V137" s="3" t="s">
        <v>54</v>
      </c>
      <c r="W137" s="3" t="s">
        <v>55</v>
      </c>
      <c r="X137" s="3" t="s">
        <v>56</v>
      </c>
      <c r="Y137" s="3" t="s">
        <v>315</v>
      </c>
      <c r="Z137" s="3" t="s">
        <v>316</v>
      </c>
      <c r="AA137" s="3" t="s">
        <v>47</v>
      </c>
      <c r="AB137" s="3" t="s">
        <v>47</v>
      </c>
      <c r="AC137" s="5">
        <v>0</v>
      </c>
    </row>
    <row r="138" spans="1:45">
      <c r="A138" s="102" t="s">
        <v>503</v>
      </c>
      <c r="B138" s="102" t="s">
        <v>503</v>
      </c>
      <c r="C138" s="110" t="s">
        <v>525</v>
      </c>
      <c r="D138" s="110" t="s">
        <v>241</v>
      </c>
      <c r="E138" s="109" t="s">
        <v>44</v>
      </c>
      <c r="F138" s="110" t="s">
        <v>45</v>
      </c>
      <c r="G138" s="109" t="s">
        <v>62</v>
      </c>
      <c r="J138">
        <v>1</v>
      </c>
      <c r="O138" s="15" t="s">
        <v>71</v>
      </c>
    </row>
    <row r="139" spans="1:45">
      <c r="A139" s="103" t="s">
        <v>501</v>
      </c>
      <c r="B139" s="103" t="s">
        <v>501</v>
      </c>
      <c r="C139" s="111" t="s">
        <v>527</v>
      </c>
      <c r="D139" s="110" t="s">
        <v>241</v>
      </c>
      <c r="E139" s="109" t="s">
        <v>44</v>
      </c>
      <c r="F139" s="110" t="s">
        <v>45</v>
      </c>
      <c r="G139" s="109" t="s">
        <v>62</v>
      </c>
      <c r="J139">
        <v>1</v>
      </c>
      <c r="O139" s="15" t="s">
        <v>71</v>
      </c>
    </row>
    <row r="140" spans="1:45">
      <c r="A140" s="102" t="s">
        <v>504</v>
      </c>
      <c r="B140" s="102" t="s">
        <v>504</v>
      </c>
      <c r="C140" s="110" t="s">
        <v>529</v>
      </c>
      <c r="D140" s="110" t="s">
        <v>241</v>
      </c>
      <c r="E140" s="109" t="s">
        <v>44</v>
      </c>
      <c r="F140" s="110" t="s">
        <v>45</v>
      </c>
      <c r="G140" s="109" t="s">
        <v>62</v>
      </c>
      <c r="J140">
        <v>1</v>
      </c>
      <c r="O140" s="15" t="s">
        <v>71</v>
      </c>
    </row>
    <row r="141" spans="1:45">
      <c r="A141" s="103" t="s">
        <v>505</v>
      </c>
      <c r="B141" s="103" t="s">
        <v>505</v>
      </c>
      <c r="C141" s="111" t="s">
        <v>531</v>
      </c>
      <c r="D141" s="110" t="s">
        <v>241</v>
      </c>
      <c r="E141" s="109" t="s">
        <v>44</v>
      </c>
      <c r="F141" s="110" t="s">
        <v>45</v>
      </c>
      <c r="G141" s="109" t="s">
        <v>62</v>
      </c>
      <c r="J141">
        <v>1</v>
      </c>
      <c r="O141" s="15" t="s">
        <v>71</v>
      </c>
    </row>
    <row r="142" spans="1:45">
      <c r="A142" s="102" t="s">
        <v>506</v>
      </c>
      <c r="B142" s="102" t="s">
        <v>506</v>
      </c>
      <c r="C142" s="110" t="s">
        <v>533</v>
      </c>
      <c r="D142" s="110" t="s">
        <v>241</v>
      </c>
      <c r="E142" s="109" t="s">
        <v>44</v>
      </c>
      <c r="F142" s="110" t="s">
        <v>45</v>
      </c>
      <c r="G142" s="109" t="s">
        <v>62</v>
      </c>
      <c r="J142">
        <v>1</v>
      </c>
      <c r="O142" s="15" t="s">
        <v>71</v>
      </c>
    </row>
    <row r="143" spans="1:45">
      <c r="A143" s="103" t="s">
        <v>507</v>
      </c>
      <c r="B143" s="103" t="s">
        <v>507</v>
      </c>
      <c r="C143" s="111" t="s">
        <v>535</v>
      </c>
      <c r="D143" s="110" t="s">
        <v>241</v>
      </c>
      <c r="E143" s="109" t="s">
        <v>44</v>
      </c>
      <c r="F143" s="110" t="s">
        <v>45</v>
      </c>
      <c r="G143" s="109" t="s">
        <v>62</v>
      </c>
      <c r="J143">
        <v>1</v>
      </c>
      <c r="O143" s="15" t="s">
        <v>71</v>
      </c>
    </row>
    <row r="144" spans="1:45">
      <c r="A144" s="102" t="s">
        <v>508</v>
      </c>
      <c r="B144" s="102" t="s">
        <v>508</v>
      </c>
      <c r="C144" s="110" t="s">
        <v>481</v>
      </c>
      <c r="D144" s="110" t="s">
        <v>241</v>
      </c>
      <c r="E144" s="109" t="s">
        <v>44</v>
      </c>
      <c r="F144" s="110" t="s">
        <v>45</v>
      </c>
      <c r="G144" s="109" t="s">
        <v>62</v>
      </c>
      <c r="J144">
        <v>1</v>
      </c>
      <c r="O144" s="15" t="s">
        <v>71</v>
      </c>
    </row>
    <row r="145" spans="1:45">
      <c r="A145" s="103" t="s">
        <v>509</v>
      </c>
      <c r="B145" s="103" t="s">
        <v>509</v>
      </c>
      <c r="C145" s="111" t="s">
        <v>537</v>
      </c>
      <c r="D145" s="110" t="s">
        <v>241</v>
      </c>
      <c r="E145" s="109" t="s">
        <v>44</v>
      </c>
      <c r="F145" s="110" t="s">
        <v>45</v>
      </c>
      <c r="G145" s="109" t="s">
        <v>62</v>
      </c>
      <c r="J145">
        <v>1</v>
      </c>
      <c r="O145" s="15" t="s">
        <v>71</v>
      </c>
    </row>
    <row r="146" spans="1:45">
      <c r="A146" s="102" t="s">
        <v>510</v>
      </c>
      <c r="B146" s="102" t="s">
        <v>510</v>
      </c>
      <c r="C146" s="109" t="s">
        <v>539</v>
      </c>
      <c r="D146" s="110" t="s">
        <v>241</v>
      </c>
      <c r="E146" s="109" t="s">
        <v>44</v>
      </c>
      <c r="F146" s="110" t="s">
        <v>45</v>
      </c>
      <c r="G146" s="109" t="s">
        <v>62</v>
      </c>
      <c r="J146">
        <v>1</v>
      </c>
      <c r="O146" s="15" t="s">
        <v>71</v>
      </c>
    </row>
    <row r="147" spans="1:45">
      <c r="A147" s="103" t="s">
        <v>511</v>
      </c>
      <c r="B147" s="103" t="s">
        <v>511</v>
      </c>
      <c r="C147" s="109" t="s">
        <v>541</v>
      </c>
      <c r="D147" s="110" t="s">
        <v>241</v>
      </c>
      <c r="E147" s="109" t="s">
        <v>44</v>
      </c>
      <c r="F147" s="110" t="s">
        <v>45</v>
      </c>
      <c r="G147" s="109" t="s">
        <v>62</v>
      </c>
      <c r="J147">
        <v>1</v>
      </c>
      <c r="O147" s="15" t="s">
        <v>71</v>
      </c>
    </row>
    <row r="148" spans="1:45">
      <c r="A148" s="102" t="s">
        <v>512</v>
      </c>
      <c r="B148" s="102" t="s">
        <v>512</v>
      </c>
      <c r="C148" s="109" t="s">
        <v>543</v>
      </c>
      <c r="D148" s="110" t="s">
        <v>241</v>
      </c>
      <c r="E148" s="109" t="s">
        <v>44</v>
      </c>
      <c r="F148" s="110" t="s">
        <v>45</v>
      </c>
      <c r="G148" s="109" t="s">
        <v>62</v>
      </c>
      <c r="J148">
        <v>1</v>
      </c>
      <c r="O148" s="15" t="s">
        <v>71</v>
      </c>
    </row>
    <row r="149" spans="1:45">
      <c r="A149" s="103" t="s">
        <v>513</v>
      </c>
      <c r="B149" s="103" t="s">
        <v>513</v>
      </c>
      <c r="C149" s="109" t="s">
        <v>545</v>
      </c>
      <c r="D149" s="110" t="s">
        <v>241</v>
      </c>
      <c r="E149" s="109" t="s">
        <v>44</v>
      </c>
      <c r="F149" s="110" t="s">
        <v>45</v>
      </c>
      <c r="G149" s="109" t="s">
        <v>62</v>
      </c>
      <c r="J149">
        <v>1</v>
      </c>
      <c r="O149" s="15" t="s">
        <v>71</v>
      </c>
    </row>
    <row r="150" spans="1:45">
      <c r="A150" s="102" t="s">
        <v>514</v>
      </c>
      <c r="B150" s="102" t="s">
        <v>514</v>
      </c>
      <c r="C150" s="109" t="s">
        <v>547</v>
      </c>
      <c r="D150" s="110" t="s">
        <v>241</v>
      </c>
      <c r="E150" s="109" t="s">
        <v>44</v>
      </c>
      <c r="F150" s="110" t="s">
        <v>45</v>
      </c>
      <c r="G150" s="109" t="s">
        <v>62</v>
      </c>
      <c r="J150">
        <v>1</v>
      </c>
      <c r="O150" s="15" t="s">
        <v>71</v>
      </c>
    </row>
    <row r="151" spans="1:45">
      <c r="A151" s="103" t="s">
        <v>515</v>
      </c>
      <c r="B151" s="103" t="s">
        <v>515</v>
      </c>
      <c r="C151" s="109" t="s">
        <v>549</v>
      </c>
      <c r="D151" s="110" t="s">
        <v>241</v>
      </c>
      <c r="E151" s="109" t="s">
        <v>44</v>
      </c>
      <c r="F151" s="110" t="s">
        <v>45</v>
      </c>
      <c r="G151" s="109" t="s">
        <v>62</v>
      </c>
      <c r="J151">
        <v>1</v>
      </c>
      <c r="O151" s="15" t="s">
        <v>71</v>
      </c>
    </row>
    <row r="152" spans="1:45">
      <c r="A152" s="102" t="s">
        <v>516</v>
      </c>
      <c r="B152" s="102" t="s">
        <v>516</v>
      </c>
      <c r="C152" s="109" t="s">
        <v>551</v>
      </c>
      <c r="D152" s="110" t="s">
        <v>241</v>
      </c>
      <c r="E152" s="109" t="s">
        <v>44</v>
      </c>
      <c r="F152" s="110" t="s">
        <v>45</v>
      </c>
      <c r="G152" s="109" t="s">
        <v>62</v>
      </c>
      <c r="J152">
        <v>1</v>
      </c>
      <c r="O152" s="15" t="s">
        <v>71</v>
      </c>
    </row>
    <row r="153" spans="1:45">
      <c r="A153" s="102" t="s">
        <v>596</v>
      </c>
      <c r="B153" s="102" t="s">
        <v>596</v>
      </c>
      <c r="C153" s="110" t="s">
        <v>597</v>
      </c>
      <c r="D153" s="110" t="s">
        <v>241</v>
      </c>
      <c r="E153" s="109" t="s">
        <v>44</v>
      </c>
      <c r="F153" s="110" t="s">
        <v>45</v>
      </c>
      <c r="G153" s="109" t="s">
        <v>62</v>
      </c>
      <c r="J153">
        <v>1</v>
      </c>
      <c r="O153" s="15" t="s">
        <v>71</v>
      </c>
    </row>
    <row r="154" spans="1:45">
      <c r="A154" s="117" t="s">
        <v>624</v>
      </c>
      <c r="B154" s="103" t="s">
        <v>624</v>
      </c>
      <c r="C154" s="111" t="s">
        <v>627</v>
      </c>
      <c r="D154" s="111" t="s">
        <v>66</v>
      </c>
      <c r="E154" s="111" t="s">
        <v>66</v>
      </c>
      <c r="F154" s="111" t="s">
        <v>45</v>
      </c>
      <c r="G154" s="111" t="s">
        <v>67</v>
      </c>
      <c r="H154" s="111" t="s">
        <v>47</v>
      </c>
      <c r="I154" s="111" t="s">
        <v>47</v>
      </c>
      <c r="J154" s="14">
        <v>2</v>
      </c>
      <c r="K154" s="14">
        <v>0</v>
      </c>
      <c r="L154" s="111" t="s">
        <v>68</v>
      </c>
      <c r="M154" s="111" t="s">
        <v>69</v>
      </c>
      <c r="N154" s="111" t="s">
        <v>70</v>
      </c>
      <c r="O154" s="14" t="s">
        <v>367</v>
      </c>
      <c r="P154" s="14">
        <v>1</v>
      </c>
      <c r="Q154" s="14" t="s">
        <v>131</v>
      </c>
      <c r="R154" s="14" t="s">
        <v>131</v>
      </c>
      <c r="S154" s="111" t="s">
        <v>47</v>
      </c>
      <c r="T154" s="111" t="s">
        <v>51</v>
      </c>
      <c r="U154" s="14"/>
      <c r="V154" s="111" t="s">
        <v>52</v>
      </c>
      <c r="W154" s="111" t="s">
        <v>72</v>
      </c>
      <c r="X154" s="111" t="s">
        <v>47</v>
      </c>
      <c r="Y154" s="111" t="s">
        <v>54</v>
      </c>
      <c r="Z154" s="111" t="s">
        <v>55</v>
      </c>
      <c r="AA154" s="111" t="s">
        <v>56</v>
      </c>
      <c r="AB154" s="111" t="s">
        <v>47</v>
      </c>
      <c r="AC154" s="111" t="s">
        <v>47</v>
      </c>
      <c r="AD154" s="111" t="s">
        <v>47</v>
      </c>
      <c r="AE154" s="111" t="s">
        <v>47</v>
      </c>
      <c r="AF154" s="14"/>
      <c r="AG154" s="14" t="s">
        <v>73</v>
      </c>
      <c r="AH154" s="14" t="s">
        <v>74</v>
      </c>
      <c r="AI154" s="14" t="s">
        <v>59</v>
      </c>
      <c r="AJ154" s="14"/>
      <c r="AK154" s="14" t="s">
        <v>73</v>
      </c>
      <c r="AL154" s="14" t="s">
        <v>74</v>
      </c>
      <c r="AM154" s="14" t="s">
        <v>59</v>
      </c>
      <c r="AN154" s="14"/>
      <c r="AO154" s="111" t="s">
        <v>73</v>
      </c>
      <c r="AP154" s="111" t="s">
        <v>60</v>
      </c>
      <c r="AQ154" s="14">
        <v>0</v>
      </c>
      <c r="AR154" s="14">
        <v>8.18</v>
      </c>
      <c r="AS154" s="19"/>
    </row>
    <row r="155" spans="1:45">
      <c r="A155" s="117" t="s">
        <v>625</v>
      </c>
      <c r="B155" s="103" t="s">
        <v>625</v>
      </c>
      <c r="C155" s="111" t="s">
        <v>626</v>
      </c>
      <c r="D155" s="111" t="s">
        <v>66</v>
      </c>
      <c r="E155" s="111" t="s">
        <v>66</v>
      </c>
      <c r="F155" s="111" t="s">
        <v>45</v>
      </c>
      <c r="G155" s="111" t="s">
        <v>67</v>
      </c>
      <c r="H155" s="111" t="s">
        <v>47</v>
      </c>
      <c r="I155" s="111" t="s">
        <v>47</v>
      </c>
      <c r="J155" s="14">
        <v>5</v>
      </c>
      <c r="K155" s="14">
        <v>0</v>
      </c>
      <c r="L155" s="111" t="s">
        <v>68</v>
      </c>
      <c r="M155" s="111" t="s">
        <v>69</v>
      </c>
      <c r="N155" s="111" t="s">
        <v>70</v>
      </c>
      <c r="O155" s="14" t="s">
        <v>367</v>
      </c>
      <c r="P155" s="14">
        <v>1</v>
      </c>
      <c r="Q155" s="14" t="s">
        <v>131</v>
      </c>
      <c r="R155" s="14" t="s">
        <v>131</v>
      </c>
      <c r="S155" s="111" t="s">
        <v>47</v>
      </c>
      <c r="T155" s="111" t="s">
        <v>51</v>
      </c>
      <c r="U155" s="14"/>
      <c r="V155" s="111" t="s">
        <v>52</v>
      </c>
      <c r="W155" s="111" t="s">
        <v>72</v>
      </c>
      <c r="X155" s="111" t="s">
        <v>47</v>
      </c>
      <c r="Y155" s="111" t="s">
        <v>54</v>
      </c>
      <c r="Z155" s="111" t="s">
        <v>55</v>
      </c>
      <c r="AA155" s="111" t="s">
        <v>56</v>
      </c>
      <c r="AB155" s="111" t="s">
        <v>47</v>
      </c>
      <c r="AC155" s="111" t="s">
        <v>47</v>
      </c>
      <c r="AD155" s="111" t="s">
        <v>47</v>
      </c>
      <c r="AE155" s="111" t="s">
        <v>47</v>
      </c>
      <c r="AF155" s="14"/>
      <c r="AG155" s="14" t="s">
        <v>73</v>
      </c>
      <c r="AH155" s="14" t="s">
        <v>74</v>
      </c>
      <c r="AI155" s="14" t="s">
        <v>59</v>
      </c>
      <c r="AJ155" s="14"/>
      <c r="AK155" s="14" t="s">
        <v>73</v>
      </c>
      <c r="AL155" s="14" t="s">
        <v>74</v>
      </c>
      <c r="AM155" s="14" t="s">
        <v>59</v>
      </c>
      <c r="AN155" s="14"/>
      <c r="AO155" s="111" t="s">
        <v>73</v>
      </c>
      <c r="AP155" s="111" t="s">
        <v>60</v>
      </c>
      <c r="AQ155" s="14">
        <v>0</v>
      </c>
      <c r="AR155" s="14">
        <v>8.18</v>
      </c>
      <c r="AS155" s="19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abSelected="1" topLeftCell="A19" workbookViewId="0">
      <selection activeCell="L2" sqref="L2:L47"/>
    </sheetView>
  </sheetViews>
  <sheetFormatPr defaultRowHeight="14.25"/>
  <cols>
    <col min="6" max="7" width="12.625" bestFit="1" customWidth="1"/>
    <col min="9" max="9" width="13.625" bestFit="1" customWidth="1"/>
  </cols>
  <sheetData>
    <row r="1" spans="1:12" ht="15.75" thickBot="1">
      <c r="A1" s="137" t="s">
        <v>640</v>
      </c>
      <c r="B1" s="138" t="s">
        <v>320</v>
      </c>
      <c r="C1" s="138" t="s">
        <v>641</v>
      </c>
      <c r="D1" s="138" t="s">
        <v>642</v>
      </c>
      <c r="E1" s="139" t="s">
        <v>643</v>
      </c>
      <c r="F1" s="140" t="s">
        <v>644</v>
      </c>
      <c r="G1" s="140" t="s">
        <v>645</v>
      </c>
      <c r="H1" s="140" t="s">
        <v>646</v>
      </c>
      <c r="I1" s="140" t="s">
        <v>647</v>
      </c>
    </row>
    <row r="2" spans="1:12" ht="15">
      <c r="A2" s="141" t="s">
        <v>343</v>
      </c>
      <c r="B2" s="142" t="s">
        <v>101</v>
      </c>
      <c r="C2" s="143" t="s">
        <v>648</v>
      </c>
      <c r="D2" s="29" t="s">
        <v>100</v>
      </c>
      <c r="E2" s="144">
        <v>0.1</v>
      </c>
      <c r="F2" s="145" t="s">
        <v>649</v>
      </c>
      <c r="G2" s="2" t="s">
        <v>150</v>
      </c>
      <c r="H2" s="2">
        <v>1</v>
      </c>
      <c r="I2" s="2">
        <f>E2*H2</f>
        <v>0.1</v>
      </c>
      <c r="K2">
        <f>VLOOKUP(D2,Sheet3!A:C,3,0)</f>
        <v>0.1</v>
      </c>
      <c r="L2" t="b">
        <f>K2=I2</f>
        <v>1</v>
      </c>
    </row>
    <row r="3" spans="1:12" ht="15">
      <c r="A3" s="146" t="s">
        <v>164</v>
      </c>
      <c r="B3" s="147" t="s">
        <v>358</v>
      </c>
      <c r="C3" s="148" t="s">
        <v>650</v>
      </c>
      <c r="D3" s="34" t="s">
        <v>484</v>
      </c>
      <c r="E3" s="149">
        <v>2.948</v>
      </c>
      <c r="F3" s="145" t="s">
        <v>651</v>
      </c>
      <c r="G3" s="2" t="s">
        <v>150</v>
      </c>
      <c r="H3" s="2">
        <v>1</v>
      </c>
      <c r="I3" s="2">
        <f t="shared" ref="I3:I47" si="0">E3*H3</f>
        <v>2.948</v>
      </c>
      <c r="K3">
        <f>VLOOKUP(D3,Sheet3!A:C,3,0)</f>
        <v>2.948</v>
      </c>
      <c r="L3" t="b">
        <f t="shared" ref="L3:L47" si="1">K3=I3</f>
        <v>1</v>
      </c>
    </row>
    <row r="4" spans="1:12" ht="15">
      <c r="A4" s="150" t="s">
        <v>166</v>
      </c>
      <c r="B4" s="151" t="s">
        <v>350</v>
      </c>
      <c r="C4" s="148" t="s">
        <v>652</v>
      </c>
      <c r="D4" s="73" t="s">
        <v>491</v>
      </c>
      <c r="E4" s="149">
        <v>1.32</v>
      </c>
      <c r="F4" s="145" t="s">
        <v>651</v>
      </c>
      <c r="G4" s="2" t="s">
        <v>85</v>
      </c>
      <c r="H4" s="2">
        <v>20</v>
      </c>
      <c r="I4" s="2">
        <f t="shared" si="0"/>
        <v>26.400000000000002</v>
      </c>
      <c r="K4">
        <f>VLOOKUP(D4,Sheet3!A:C,3,0)</f>
        <v>26.4</v>
      </c>
      <c r="L4" t="b">
        <f t="shared" si="1"/>
        <v>1</v>
      </c>
    </row>
    <row r="5" spans="1:12" ht="15">
      <c r="A5" s="146" t="s">
        <v>168</v>
      </c>
      <c r="B5" s="147" t="s">
        <v>169</v>
      </c>
      <c r="C5" s="148" t="s">
        <v>653</v>
      </c>
      <c r="D5" s="152" t="s">
        <v>488</v>
      </c>
      <c r="E5" s="149">
        <v>2.65</v>
      </c>
      <c r="F5" s="145" t="s">
        <v>651</v>
      </c>
      <c r="G5" s="2" t="s">
        <v>150</v>
      </c>
      <c r="H5" s="2">
        <v>1</v>
      </c>
      <c r="I5" s="2">
        <f t="shared" si="0"/>
        <v>2.65</v>
      </c>
      <c r="K5">
        <f>VLOOKUP(D5,Sheet3!A:C,3,0)</f>
        <v>2.65</v>
      </c>
      <c r="L5" t="b">
        <f t="shared" si="1"/>
        <v>1</v>
      </c>
    </row>
    <row r="6" spans="1:12" ht="15">
      <c r="A6" s="146" t="s">
        <v>170</v>
      </c>
      <c r="B6" s="147" t="s">
        <v>171</v>
      </c>
      <c r="C6" s="148" t="s">
        <v>654</v>
      </c>
      <c r="D6" s="152" t="s">
        <v>485</v>
      </c>
      <c r="E6" s="149">
        <v>14.15</v>
      </c>
      <c r="F6" s="145" t="s">
        <v>651</v>
      </c>
      <c r="G6" s="2" t="s">
        <v>150</v>
      </c>
      <c r="H6" s="2">
        <v>1</v>
      </c>
      <c r="I6" s="2">
        <f t="shared" si="0"/>
        <v>14.15</v>
      </c>
      <c r="K6">
        <f>VLOOKUP(D6,Sheet3!A:C,3,0)</f>
        <v>14.15</v>
      </c>
      <c r="L6" t="b">
        <f t="shared" si="1"/>
        <v>1</v>
      </c>
    </row>
    <row r="7" spans="1:12" ht="15">
      <c r="A7" s="146" t="s">
        <v>172</v>
      </c>
      <c r="B7" s="147" t="s">
        <v>173</v>
      </c>
      <c r="C7" s="148" t="s">
        <v>655</v>
      </c>
      <c r="D7" s="152" t="s">
        <v>487</v>
      </c>
      <c r="E7" s="149">
        <v>11.13</v>
      </c>
      <c r="F7" s="145" t="s">
        <v>651</v>
      </c>
      <c r="G7" s="2" t="s">
        <v>150</v>
      </c>
      <c r="H7" s="2">
        <v>1</v>
      </c>
      <c r="I7" s="2">
        <f t="shared" si="0"/>
        <v>11.13</v>
      </c>
      <c r="K7">
        <f>VLOOKUP(D7,Sheet3!A:C,3,0)</f>
        <v>11.13</v>
      </c>
      <c r="L7" t="b">
        <f t="shared" si="1"/>
        <v>1</v>
      </c>
    </row>
    <row r="8" spans="1:12" ht="15">
      <c r="A8" s="153" t="s">
        <v>174</v>
      </c>
      <c r="B8" s="154" t="s">
        <v>175</v>
      </c>
      <c r="C8" s="148" t="s">
        <v>656</v>
      </c>
      <c r="D8" s="152" t="s">
        <v>493</v>
      </c>
      <c r="E8" s="149">
        <v>11.16</v>
      </c>
      <c r="F8" s="145" t="s">
        <v>651</v>
      </c>
      <c r="G8" s="2" t="s">
        <v>150</v>
      </c>
      <c r="H8" s="2">
        <v>1</v>
      </c>
      <c r="I8" s="2">
        <f t="shared" si="0"/>
        <v>11.16</v>
      </c>
      <c r="K8">
        <f>VLOOKUP(D8,Sheet3!A:C,3,0)</f>
        <v>11.16</v>
      </c>
      <c r="L8" t="b">
        <f t="shared" si="1"/>
        <v>1</v>
      </c>
    </row>
    <row r="9" spans="1:12" ht="15">
      <c r="A9" s="146" t="s">
        <v>177</v>
      </c>
      <c r="B9" s="147" t="s">
        <v>178</v>
      </c>
      <c r="C9" s="148" t="s">
        <v>657</v>
      </c>
      <c r="D9" s="152" t="s">
        <v>486</v>
      </c>
      <c r="E9" s="149">
        <v>0.375</v>
      </c>
      <c r="F9" s="145" t="s">
        <v>651</v>
      </c>
      <c r="G9" s="2" t="s">
        <v>150</v>
      </c>
      <c r="H9" s="2">
        <v>1</v>
      </c>
      <c r="I9" s="2">
        <f t="shared" si="0"/>
        <v>0.375</v>
      </c>
      <c r="K9">
        <f>VLOOKUP(D9,Sheet3!A:C,3,0)</f>
        <v>0.375</v>
      </c>
      <c r="L9" t="b">
        <f t="shared" si="1"/>
        <v>1</v>
      </c>
    </row>
    <row r="10" spans="1:12" ht="15">
      <c r="A10" s="146" t="s">
        <v>359</v>
      </c>
      <c r="B10" s="147" t="s">
        <v>251</v>
      </c>
      <c r="C10" s="148" t="s">
        <v>658</v>
      </c>
      <c r="D10" s="34" t="s">
        <v>250</v>
      </c>
      <c r="E10" s="149">
        <v>2.2000000000000002</v>
      </c>
      <c r="F10" s="145" t="s">
        <v>651</v>
      </c>
      <c r="G10" s="2" t="s">
        <v>150</v>
      </c>
      <c r="H10" s="2">
        <v>1</v>
      </c>
      <c r="I10" s="2">
        <f t="shared" si="0"/>
        <v>2.2000000000000002</v>
      </c>
      <c r="K10">
        <f>VLOOKUP(D10,Sheet3!A:C,3,0)</f>
        <v>2.2000000000000002</v>
      </c>
      <c r="L10" t="b">
        <f t="shared" si="1"/>
        <v>1</v>
      </c>
    </row>
    <row r="11" spans="1:12" ht="15">
      <c r="A11" s="153" t="s">
        <v>352</v>
      </c>
      <c r="B11" s="154" t="s">
        <v>92</v>
      </c>
      <c r="C11" s="148" t="s">
        <v>659</v>
      </c>
      <c r="D11" s="34" t="s">
        <v>91</v>
      </c>
      <c r="E11" s="149">
        <v>0.58599999999999997</v>
      </c>
      <c r="F11" s="145" t="s">
        <v>651</v>
      </c>
      <c r="G11" s="2" t="s">
        <v>85</v>
      </c>
      <c r="H11" s="2">
        <v>25</v>
      </c>
      <c r="I11" s="2">
        <f t="shared" si="0"/>
        <v>14.649999999999999</v>
      </c>
      <c r="K11">
        <f>VLOOKUP(D11,Sheet3!A:C,3,0)</f>
        <v>14.65</v>
      </c>
      <c r="L11" t="b">
        <f t="shared" si="1"/>
        <v>1</v>
      </c>
    </row>
    <row r="12" spans="1:12" ht="15">
      <c r="A12" s="153" t="s">
        <v>348</v>
      </c>
      <c r="B12" s="155" t="s">
        <v>98</v>
      </c>
      <c r="C12" s="148" t="s">
        <v>660</v>
      </c>
      <c r="D12" s="34" t="s">
        <v>97</v>
      </c>
      <c r="E12" s="149">
        <v>0.2311</v>
      </c>
      <c r="F12" s="145" t="s">
        <v>651</v>
      </c>
      <c r="G12" s="2" t="s">
        <v>150</v>
      </c>
      <c r="H12" s="2">
        <v>1</v>
      </c>
      <c r="I12" s="2">
        <f t="shared" si="0"/>
        <v>0.2311</v>
      </c>
      <c r="K12">
        <f>VLOOKUP(D12,Sheet3!A:C,3,0)</f>
        <v>0.2311</v>
      </c>
      <c r="L12" t="b">
        <f t="shared" si="1"/>
        <v>1</v>
      </c>
    </row>
    <row r="13" spans="1:12" ht="15">
      <c r="A13" s="146" t="s">
        <v>360</v>
      </c>
      <c r="B13" s="147" t="s">
        <v>268</v>
      </c>
      <c r="C13" s="148" t="s">
        <v>661</v>
      </c>
      <c r="D13" s="34" t="s">
        <v>267</v>
      </c>
      <c r="E13" s="149">
        <v>9.5</v>
      </c>
      <c r="F13" s="145" t="s">
        <v>651</v>
      </c>
      <c r="G13" s="2" t="s">
        <v>150</v>
      </c>
      <c r="H13" s="2">
        <v>1</v>
      </c>
      <c r="I13" s="2">
        <f t="shared" si="0"/>
        <v>9.5</v>
      </c>
      <c r="K13">
        <f>VLOOKUP(D13,Sheet3!A:C,3,0)</f>
        <v>9.5</v>
      </c>
      <c r="L13" t="b">
        <f t="shared" si="1"/>
        <v>1</v>
      </c>
    </row>
    <row r="14" spans="1:12" ht="15">
      <c r="A14" s="153" t="s">
        <v>179</v>
      </c>
      <c r="B14" s="154" t="s">
        <v>180</v>
      </c>
      <c r="C14" s="148" t="s">
        <v>662</v>
      </c>
      <c r="D14" s="152" t="s">
        <v>490</v>
      </c>
      <c r="E14" s="149">
        <v>3.49</v>
      </c>
      <c r="F14" s="145" t="s">
        <v>651</v>
      </c>
      <c r="G14" s="2" t="s">
        <v>150</v>
      </c>
      <c r="H14" s="2">
        <v>1</v>
      </c>
      <c r="I14" s="2">
        <f t="shared" si="0"/>
        <v>3.49</v>
      </c>
      <c r="K14">
        <f>VLOOKUP(D14,Sheet3!A:C,3,0)</f>
        <v>3.49</v>
      </c>
      <c r="L14" t="b">
        <f t="shared" si="1"/>
        <v>1</v>
      </c>
    </row>
    <row r="15" spans="1:12" ht="15">
      <c r="A15" s="146" t="s">
        <v>181</v>
      </c>
      <c r="B15" s="147" t="s">
        <v>182</v>
      </c>
      <c r="C15" s="148" t="s">
        <v>663</v>
      </c>
      <c r="D15" s="152" t="s">
        <v>489</v>
      </c>
      <c r="E15" s="149">
        <v>8.5</v>
      </c>
      <c r="F15" s="145" t="s">
        <v>651</v>
      </c>
      <c r="G15" s="2" t="s">
        <v>150</v>
      </c>
      <c r="H15" s="2">
        <v>1</v>
      </c>
      <c r="I15" s="2">
        <f t="shared" si="0"/>
        <v>8.5</v>
      </c>
      <c r="K15">
        <f>VLOOKUP(D15,Sheet3!A:C,3,0)</f>
        <v>8.5</v>
      </c>
      <c r="L15" t="b">
        <f t="shared" si="1"/>
        <v>1</v>
      </c>
    </row>
    <row r="16" spans="1:12" ht="15">
      <c r="A16" s="153" t="s">
        <v>333</v>
      </c>
      <c r="B16" s="154" t="s">
        <v>127</v>
      </c>
      <c r="C16" s="148" t="s">
        <v>664</v>
      </c>
      <c r="D16" s="34" t="s">
        <v>126</v>
      </c>
      <c r="E16" s="149">
        <v>0.45200000000000001</v>
      </c>
      <c r="F16" s="145" t="s">
        <v>651</v>
      </c>
      <c r="G16" s="2" t="s">
        <v>150</v>
      </c>
      <c r="H16" s="2">
        <v>1</v>
      </c>
      <c r="I16" s="2">
        <f t="shared" si="0"/>
        <v>0.45200000000000001</v>
      </c>
      <c r="K16">
        <f>VLOOKUP(D16,Sheet3!A:C,3,0)</f>
        <v>0.45200000000000001</v>
      </c>
      <c r="L16" t="b">
        <f t="shared" si="1"/>
        <v>1</v>
      </c>
    </row>
    <row r="17" spans="1:12" ht="15">
      <c r="A17" s="153" t="s">
        <v>329</v>
      </c>
      <c r="B17" s="154" t="s">
        <v>194</v>
      </c>
      <c r="C17" s="148" t="s">
        <v>665</v>
      </c>
      <c r="D17" s="34" t="s">
        <v>193</v>
      </c>
      <c r="E17" s="149">
        <v>2.93</v>
      </c>
      <c r="F17" s="145" t="s">
        <v>651</v>
      </c>
      <c r="G17" s="2" t="s">
        <v>150</v>
      </c>
      <c r="H17" s="2">
        <v>1</v>
      </c>
      <c r="I17" s="2">
        <f t="shared" si="0"/>
        <v>2.93</v>
      </c>
      <c r="K17">
        <f>VLOOKUP(D17,Sheet3!A:C,3,0)</f>
        <v>2.93</v>
      </c>
      <c r="L17" t="b">
        <f t="shared" si="1"/>
        <v>1</v>
      </c>
    </row>
    <row r="18" spans="1:12" ht="15">
      <c r="A18" s="153" t="s">
        <v>356</v>
      </c>
      <c r="B18" s="154" t="s">
        <v>253</v>
      </c>
      <c r="C18" s="148" t="s">
        <v>666</v>
      </c>
      <c r="D18" s="34" t="s">
        <v>252</v>
      </c>
      <c r="E18" s="149">
        <v>3.1</v>
      </c>
      <c r="F18" s="145" t="s">
        <v>651</v>
      </c>
      <c r="G18" s="2" t="s">
        <v>150</v>
      </c>
      <c r="H18" s="2">
        <v>1</v>
      </c>
      <c r="I18" s="2">
        <f t="shared" si="0"/>
        <v>3.1</v>
      </c>
      <c r="K18">
        <f>VLOOKUP(D18,Sheet3!A:C,3,0)</f>
        <v>3.1</v>
      </c>
      <c r="L18" t="b">
        <f t="shared" si="1"/>
        <v>1</v>
      </c>
    </row>
    <row r="19" spans="1:12" ht="15">
      <c r="A19" s="153" t="s">
        <v>183</v>
      </c>
      <c r="B19" s="154" t="s">
        <v>184</v>
      </c>
      <c r="C19" s="148" t="s">
        <v>666</v>
      </c>
      <c r="D19" s="152" t="s">
        <v>492</v>
      </c>
      <c r="E19" s="149">
        <v>9.6999999999999993</v>
      </c>
      <c r="F19" s="145" t="s">
        <v>651</v>
      </c>
      <c r="G19" s="2" t="s">
        <v>150</v>
      </c>
      <c r="H19" s="2">
        <v>1</v>
      </c>
      <c r="I19" s="2">
        <f t="shared" si="0"/>
        <v>9.6999999999999993</v>
      </c>
      <c r="K19">
        <f>VLOOKUP(D19,Sheet3!A:C,3,0)</f>
        <v>9.6999999999999993</v>
      </c>
      <c r="L19" t="b">
        <f t="shared" si="1"/>
        <v>1</v>
      </c>
    </row>
    <row r="20" spans="1:12" ht="15">
      <c r="A20" s="153" t="s">
        <v>351</v>
      </c>
      <c r="B20" s="154" t="s">
        <v>96</v>
      </c>
      <c r="C20" s="148" t="s">
        <v>666</v>
      </c>
      <c r="D20" s="34" t="s">
        <v>95</v>
      </c>
      <c r="E20" s="149">
        <v>1.22</v>
      </c>
      <c r="F20" s="145" t="s">
        <v>651</v>
      </c>
      <c r="G20" s="2" t="s">
        <v>85</v>
      </c>
      <c r="H20" s="2">
        <v>20</v>
      </c>
      <c r="I20" s="2">
        <f t="shared" si="0"/>
        <v>24.4</v>
      </c>
      <c r="K20">
        <f>VLOOKUP(D20,Sheet3!A:C,3,0)</f>
        <v>24.4</v>
      </c>
      <c r="L20" t="b">
        <f t="shared" si="1"/>
        <v>1</v>
      </c>
    </row>
    <row r="21" spans="1:12" ht="15">
      <c r="A21" s="153" t="s">
        <v>357</v>
      </c>
      <c r="B21" s="154" t="s">
        <v>138</v>
      </c>
      <c r="C21" s="148" t="s">
        <v>667</v>
      </c>
      <c r="D21" s="34" t="s">
        <v>137</v>
      </c>
      <c r="E21" s="149">
        <v>1.91</v>
      </c>
      <c r="F21" s="145" t="s">
        <v>649</v>
      </c>
      <c r="G21" s="2" t="s">
        <v>150</v>
      </c>
      <c r="H21" s="2">
        <v>1</v>
      </c>
      <c r="I21" s="2">
        <f t="shared" si="0"/>
        <v>1.91</v>
      </c>
      <c r="K21">
        <f>VLOOKUP(D21,Sheet3!A:C,3,0)</f>
        <v>1.91</v>
      </c>
      <c r="L21" t="b">
        <f t="shared" si="1"/>
        <v>1</v>
      </c>
    </row>
    <row r="22" spans="1:12" ht="15">
      <c r="A22" s="146" t="s">
        <v>336</v>
      </c>
      <c r="B22" s="154" t="s">
        <v>115</v>
      </c>
      <c r="C22" s="148" t="s">
        <v>668</v>
      </c>
      <c r="D22" s="34" t="s">
        <v>114</v>
      </c>
      <c r="E22" s="149">
        <v>5.7500000000000002E-2</v>
      </c>
      <c r="F22" s="145" t="s">
        <v>651</v>
      </c>
      <c r="G22" s="2" t="s">
        <v>150</v>
      </c>
      <c r="H22" s="2">
        <v>1</v>
      </c>
      <c r="I22" s="2">
        <f t="shared" si="0"/>
        <v>5.7500000000000002E-2</v>
      </c>
      <c r="K22">
        <f>VLOOKUP(D22,Sheet3!A:C,3,0)</f>
        <v>5.7500000000000002E-2</v>
      </c>
      <c r="L22" t="b">
        <f t="shared" si="1"/>
        <v>1</v>
      </c>
    </row>
    <row r="23" spans="1:12" ht="15">
      <c r="A23" s="146" t="s">
        <v>338</v>
      </c>
      <c r="B23" s="154" t="s">
        <v>117</v>
      </c>
      <c r="C23" s="148" t="s">
        <v>668</v>
      </c>
      <c r="D23" s="34" t="s">
        <v>116</v>
      </c>
      <c r="E23" s="149">
        <v>3.5000000000000003E-2</v>
      </c>
      <c r="F23" s="145" t="s">
        <v>651</v>
      </c>
      <c r="G23" s="2" t="s">
        <v>150</v>
      </c>
      <c r="H23" s="2">
        <v>1</v>
      </c>
      <c r="I23" s="2">
        <f t="shared" si="0"/>
        <v>3.5000000000000003E-2</v>
      </c>
      <c r="K23">
        <f>VLOOKUP(D23,Sheet3!A:C,3,0)</f>
        <v>3.5000000000000003E-2</v>
      </c>
      <c r="L23" t="b">
        <f t="shared" si="1"/>
        <v>1</v>
      </c>
    </row>
    <row r="24" spans="1:12" ht="15">
      <c r="A24" s="146" t="s">
        <v>339</v>
      </c>
      <c r="B24" s="154" t="s">
        <v>119</v>
      </c>
      <c r="C24" s="148" t="s">
        <v>668</v>
      </c>
      <c r="D24" s="34" t="s">
        <v>118</v>
      </c>
      <c r="E24" s="149">
        <v>3.5000000000000003E-2</v>
      </c>
      <c r="F24" s="145" t="s">
        <v>651</v>
      </c>
      <c r="G24" s="2" t="s">
        <v>150</v>
      </c>
      <c r="H24" s="2">
        <v>1</v>
      </c>
      <c r="I24" s="2">
        <f t="shared" si="0"/>
        <v>3.5000000000000003E-2</v>
      </c>
      <c r="K24">
        <f>VLOOKUP(D24,Sheet3!A:C,3,0)</f>
        <v>3.5000000000000003E-2</v>
      </c>
      <c r="L24" t="b">
        <f t="shared" si="1"/>
        <v>1</v>
      </c>
    </row>
    <row r="25" spans="1:12" ht="15">
      <c r="A25" s="146" t="s">
        <v>341</v>
      </c>
      <c r="B25" s="154" t="s">
        <v>121</v>
      </c>
      <c r="C25" s="148" t="s">
        <v>668</v>
      </c>
      <c r="D25" s="34" t="s">
        <v>120</v>
      </c>
      <c r="E25" s="149">
        <v>3.2000000000000001E-2</v>
      </c>
      <c r="F25" s="145" t="s">
        <v>651</v>
      </c>
      <c r="G25" s="2" t="s">
        <v>150</v>
      </c>
      <c r="H25" s="2">
        <v>1</v>
      </c>
      <c r="I25" s="2">
        <f t="shared" si="0"/>
        <v>3.2000000000000001E-2</v>
      </c>
      <c r="K25">
        <f>VLOOKUP(D25,Sheet3!A:C,3,0)</f>
        <v>3.2000000000000001E-2</v>
      </c>
      <c r="L25" t="b">
        <f t="shared" si="1"/>
        <v>1</v>
      </c>
    </row>
    <row r="26" spans="1:12" ht="15">
      <c r="A26" s="146" t="s">
        <v>347</v>
      </c>
      <c r="B26" s="154" t="s">
        <v>123</v>
      </c>
      <c r="C26" s="148" t="s">
        <v>668</v>
      </c>
      <c r="D26" s="34" t="s">
        <v>122</v>
      </c>
      <c r="E26" s="149">
        <v>3.5000000000000003E-2</v>
      </c>
      <c r="F26" s="145" t="s">
        <v>651</v>
      </c>
      <c r="G26" s="2" t="s">
        <v>150</v>
      </c>
      <c r="H26" s="2">
        <v>1</v>
      </c>
      <c r="I26" s="2">
        <f t="shared" si="0"/>
        <v>3.5000000000000003E-2</v>
      </c>
      <c r="K26">
        <f>VLOOKUP(D26,Sheet3!A:C,3,0)</f>
        <v>3.5000000000000003E-2</v>
      </c>
      <c r="L26" t="b">
        <f t="shared" si="1"/>
        <v>1</v>
      </c>
    </row>
    <row r="27" spans="1:12" ht="15">
      <c r="A27" s="146" t="s">
        <v>349</v>
      </c>
      <c r="B27" s="154" t="s">
        <v>125</v>
      </c>
      <c r="C27" s="148" t="s">
        <v>668</v>
      </c>
      <c r="D27" s="34" t="s">
        <v>124</v>
      </c>
      <c r="E27" s="149">
        <v>3.5000000000000003E-2</v>
      </c>
      <c r="F27" s="145" t="s">
        <v>651</v>
      </c>
      <c r="G27" s="2" t="s">
        <v>150</v>
      </c>
      <c r="H27" s="2">
        <v>1</v>
      </c>
      <c r="I27" s="2">
        <f t="shared" si="0"/>
        <v>3.5000000000000003E-2</v>
      </c>
      <c r="K27">
        <f>VLOOKUP(D27,Sheet3!A:C,3,0)</f>
        <v>3.5000000000000003E-2</v>
      </c>
      <c r="L27" t="b">
        <f t="shared" si="1"/>
        <v>1</v>
      </c>
    </row>
    <row r="28" spans="1:12" ht="15">
      <c r="A28" s="146" t="s">
        <v>331</v>
      </c>
      <c r="B28" s="154" t="s">
        <v>279</v>
      </c>
      <c r="C28" s="148" t="s">
        <v>668</v>
      </c>
      <c r="D28" s="34" t="s">
        <v>278</v>
      </c>
      <c r="E28" s="149">
        <v>9.4500000000000001E-2</v>
      </c>
      <c r="F28" s="145" t="s">
        <v>651</v>
      </c>
      <c r="G28" s="2" t="s">
        <v>150</v>
      </c>
      <c r="H28" s="2">
        <v>1</v>
      </c>
      <c r="I28" s="2">
        <f t="shared" si="0"/>
        <v>9.4500000000000001E-2</v>
      </c>
      <c r="K28">
        <f>VLOOKUP(D28,Sheet3!A:C,3,0)</f>
        <v>9.4500000000000001E-2</v>
      </c>
      <c r="L28" t="b">
        <f t="shared" si="1"/>
        <v>1</v>
      </c>
    </row>
    <row r="29" spans="1:12" ht="15">
      <c r="A29" s="153" t="s">
        <v>324</v>
      </c>
      <c r="B29" s="154" t="s">
        <v>221</v>
      </c>
      <c r="C29" s="148" t="s">
        <v>669</v>
      </c>
      <c r="D29" s="34" t="s">
        <v>220</v>
      </c>
      <c r="E29" s="149">
        <v>3.72</v>
      </c>
      <c r="F29" s="145" t="s">
        <v>651</v>
      </c>
      <c r="G29" s="2" t="s">
        <v>150</v>
      </c>
      <c r="H29" s="2">
        <v>1</v>
      </c>
      <c r="I29" s="2">
        <f t="shared" si="0"/>
        <v>3.72</v>
      </c>
      <c r="K29">
        <f>VLOOKUP(D29,Sheet3!A:C,3,0)</f>
        <v>3.72</v>
      </c>
      <c r="L29" t="b">
        <f t="shared" si="1"/>
        <v>1</v>
      </c>
    </row>
    <row r="30" spans="1:12" ht="15">
      <c r="A30" s="153" t="s">
        <v>325</v>
      </c>
      <c r="B30" s="155" t="s">
        <v>223</v>
      </c>
      <c r="C30" s="148" t="s">
        <v>669</v>
      </c>
      <c r="D30" s="34" t="s">
        <v>222</v>
      </c>
      <c r="E30" s="149">
        <v>2.65</v>
      </c>
      <c r="F30" s="145" t="s">
        <v>651</v>
      </c>
      <c r="G30" s="2" t="s">
        <v>150</v>
      </c>
      <c r="H30" s="2">
        <v>1</v>
      </c>
      <c r="I30" s="2">
        <f t="shared" si="0"/>
        <v>2.65</v>
      </c>
      <c r="K30">
        <f>VLOOKUP(D30,Sheet3!A:C,3,0)</f>
        <v>2.65</v>
      </c>
      <c r="L30" t="b">
        <f t="shared" si="1"/>
        <v>1</v>
      </c>
    </row>
    <row r="31" spans="1:12" ht="15">
      <c r="A31" s="153" t="s">
        <v>335</v>
      </c>
      <c r="B31" s="154" t="s">
        <v>103</v>
      </c>
      <c r="C31" s="148" t="s">
        <v>669</v>
      </c>
      <c r="D31" s="34" t="s">
        <v>102</v>
      </c>
      <c r="E31" s="149">
        <v>4.9800000000000004</v>
      </c>
      <c r="F31" s="145" t="s">
        <v>651</v>
      </c>
      <c r="G31" s="2" t="s">
        <v>150</v>
      </c>
      <c r="H31" s="2">
        <v>1</v>
      </c>
      <c r="I31" s="2">
        <f t="shared" si="0"/>
        <v>4.9800000000000004</v>
      </c>
      <c r="K31">
        <f>VLOOKUP(D31,Sheet3!A:C,3,0)</f>
        <v>4.9800000000000004</v>
      </c>
      <c r="L31" t="b">
        <f t="shared" si="1"/>
        <v>1</v>
      </c>
    </row>
    <row r="32" spans="1:12" ht="15">
      <c r="A32" s="146" t="s">
        <v>327</v>
      </c>
      <c r="B32" s="147" t="s">
        <v>65</v>
      </c>
      <c r="C32" s="148" t="s">
        <v>670</v>
      </c>
      <c r="D32" s="34" t="s">
        <v>64</v>
      </c>
      <c r="E32" s="149">
        <v>9.32</v>
      </c>
      <c r="F32" s="145" t="s">
        <v>651</v>
      </c>
      <c r="G32" s="2" t="s">
        <v>150</v>
      </c>
      <c r="H32" s="2">
        <v>1</v>
      </c>
      <c r="I32" s="2">
        <f t="shared" si="0"/>
        <v>9.32</v>
      </c>
      <c r="K32">
        <f>VLOOKUP(D32,Sheet3!A:C,3,0)</f>
        <v>9.32</v>
      </c>
      <c r="L32" t="b">
        <f t="shared" si="1"/>
        <v>1</v>
      </c>
    </row>
    <row r="33" spans="1:12" ht="15">
      <c r="A33" s="146" t="s">
        <v>328</v>
      </c>
      <c r="B33" s="147" t="s">
        <v>235</v>
      </c>
      <c r="C33" s="148" t="s">
        <v>670</v>
      </c>
      <c r="D33" s="34" t="s">
        <v>234</v>
      </c>
      <c r="E33" s="149">
        <v>8.08</v>
      </c>
      <c r="F33" s="145" t="s">
        <v>651</v>
      </c>
      <c r="G33" s="2" t="s">
        <v>150</v>
      </c>
      <c r="H33" s="2">
        <v>1</v>
      </c>
      <c r="I33" s="2">
        <f t="shared" si="0"/>
        <v>8.08</v>
      </c>
      <c r="K33">
        <f>VLOOKUP(D33,Sheet3!A:C,3,0)</f>
        <v>8.08</v>
      </c>
      <c r="L33" t="b">
        <f t="shared" si="1"/>
        <v>1</v>
      </c>
    </row>
    <row r="34" spans="1:12" ht="15">
      <c r="A34" s="146" t="s">
        <v>326</v>
      </c>
      <c r="B34" s="147" t="s">
        <v>238</v>
      </c>
      <c r="C34" s="148" t="s">
        <v>670</v>
      </c>
      <c r="D34" s="34" t="s">
        <v>237</v>
      </c>
      <c r="E34" s="149">
        <v>6.06</v>
      </c>
      <c r="F34" s="145" t="s">
        <v>651</v>
      </c>
      <c r="G34" s="2" t="s">
        <v>150</v>
      </c>
      <c r="H34" s="2">
        <v>1</v>
      </c>
      <c r="I34" s="2">
        <f t="shared" si="0"/>
        <v>6.06</v>
      </c>
      <c r="K34">
        <f>VLOOKUP(D34,Sheet3!A:C,3,0)</f>
        <v>6.06</v>
      </c>
      <c r="L34" t="b">
        <f t="shared" si="1"/>
        <v>1</v>
      </c>
    </row>
    <row r="35" spans="1:12" ht="15">
      <c r="A35" s="153" t="s">
        <v>185</v>
      </c>
      <c r="B35" s="156" t="s">
        <v>671</v>
      </c>
      <c r="C35" s="148" t="s">
        <v>672</v>
      </c>
      <c r="D35" s="153" t="s">
        <v>185</v>
      </c>
      <c r="E35" s="149">
        <v>8.5399999999999991</v>
      </c>
      <c r="F35" s="145" t="s">
        <v>651</v>
      </c>
      <c r="G35" s="2" t="s">
        <v>85</v>
      </c>
      <c r="H35" s="2">
        <v>1</v>
      </c>
      <c r="I35" s="2">
        <f t="shared" si="0"/>
        <v>8.5399999999999991</v>
      </c>
      <c r="K35">
        <f>VLOOKUP(D35,Sheet3!A:C,3,0)</f>
        <v>8.5399999999999991</v>
      </c>
      <c r="L35" t="b">
        <f t="shared" si="1"/>
        <v>1</v>
      </c>
    </row>
    <row r="36" spans="1:12" ht="15">
      <c r="A36" s="153" t="s">
        <v>673</v>
      </c>
      <c r="B36" s="156" t="s">
        <v>674</v>
      </c>
      <c r="C36" s="148"/>
      <c r="D36" s="153" t="s">
        <v>673</v>
      </c>
      <c r="E36" s="149">
        <v>8.77</v>
      </c>
      <c r="F36" s="145" t="s">
        <v>651</v>
      </c>
      <c r="G36" s="2" t="s">
        <v>85</v>
      </c>
      <c r="H36" s="2">
        <v>2</v>
      </c>
      <c r="I36" s="2">
        <f t="shared" si="0"/>
        <v>17.54</v>
      </c>
      <c r="K36">
        <f>VLOOKUP(D36,Sheet3!A:C,3,0)</f>
        <v>17.54</v>
      </c>
      <c r="L36" t="b">
        <f t="shared" si="1"/>
        <v>1</v>
      </c>
    </row>
    <row r="37" spans="1:12" ht="15">
      <c r="A37" s="153" t="s">
        <v>675</v>
      </c>
      <c r="B37" s="156" t="s">
        <v>676</v>
      </c>
      <c r="C37" s="148"/>
      <c r="D37" s="153" t="s">
        <v>675</v>
      </c>
      <c r="E37" s="149">
        <v>8.18</v>
      </c>
      <c r="F37" s="145" t="s">
        <v>651</v>
      </c>
      <c r="G37" s="2" t="s">
        <v>85</v>
      </c>
      <c r="H37" s="2">
        <v>5</v>
      </c>
      <c r="I37" s="2">
        <f t="shared" si="0"/>
        <v>40.9</v>
      </c>
      <c r="K37">
        <f>VLOOKUP(D37,Sheet3!A:C,3,0)</f>
        <v>40.9</v>
      </c>
      <c r="L37" t="b">
        <f t="shared" si="1"/>
        <v>1</v>
      </c>
    </row>
    <row r="38" spans="1:12" ht="15">
      <c r="A38" s="146" t="s">
        <v>344</v>
      </c>
      <c r="B38" s="154" t="s">
        <v>140</v>
      </c>
      <c r="C38" s="148" t="s">
        <v>661</v>
      </c>
      <c r="D38" s="34" t="s">
        <v>139</v>
      </c>
      <c r="E38" s="149">
        <v>2.4</v>
      </c>
      <c r="F38" s="145" t="s">
        <v>651</v>
      </c>
      <c r="G38" s="2" t="s">
        <v>150</v>
      </c>
      <c r="H38" s="2">
        <v>1</v>
      </c>
      <c r="I38" s="2">
        <f t="shared" si="0"/>
        <v>2.4</v>
      </c>
      <c r="K38">
        <f>VLOOKUP(D38,Sheet3!A:C,3,0)</f>
        <v>2.4</v>
      </c>
      <c r="L38" t="b">
        <f t="shared" si="1"/>
        <v>1</v>
      </c>
    </row>
    <row r="39" spans="1:12" ht="15">
      <c r="A39" s="153" t="s">
        <v>337</v>
      </c>
      <c r="B39" s="155" t="s">
        <v>256</v>
      </c>
      <c r="C39" s="148" t="s">
        <v>663</v>
      </c>
      <c r="D39" s="34" t="s">
        <v>255</v>
      </c>
      <c r="E39" s="149">
        <v>2.9</v>
      </c>
      <c r="F39" s="145" t="s">
        <v>651</v>
      </c>
      <c r="G39" s="2" t="s">
        <v>150</v>
      </c>
      <c r="H39" s="2">
        <v>1</v>
      </c>
      <c r="I39" s="2">
        <f t="shared" si="0"/>
        <v>2.9</v>
      </c>
      <c r="K39">
        <f>VLOOKUP(D39,Sheet3!A:C,3,0)</f>
        <v>2.9</v>
      </c>
      <c r="L39" t="b">
        <f t="shared" si="1"/>
        <v>1</v>
      </c>
    </row>
    <row r="40" spans="1:12" ht="15">
      <c r="A40" s="146" t="s">
        <v>187</v>
      </c>
      <c r="B40" s="151" t="s">
        <v>188</v>
      </c>
      <c r="C40" s="151" t="s">
        <v>677</v>
      </c>
      <c r="D40" s="151" t="s">
        <v>497</v>
      </c>
      <c r="E40" s="149">
        <v>1.23</v>
      </c>
      <c r="F40" s="145" t="s">
        <v>651</v>
      </c>
      <c r="G40" s="2" t="s">
        <v>150</v>
      </c>
      <c r="H40" s="2">
        <v>1</v>
      </c>
      <c r="I40" s="2">
        <f t="shared" si="0"/>
        <v>1.23</v>
      </c>
      <c r="K40">
        <f>VLOOKUP(D40,Sheet3!A:C,3,0)</f>
        <v>1.23</v>
      </c>
      <c r="L40" t="b">
        <f t="shared" si="1"/>
        <v>1</v>
      </c>
    </row>
    <row r="41" spans="1:12" ht="15">
      <c r="A41" s="146" t="s">
        <v>330</v>
      </c>
      <c r="B41" s="151" t="s">
        <v>192</v>
      </c>
      <c r="C41" s="157" t="s">
        <v>665</v>
      </c>
      <c r="D41" s="152" t="s">
        <v>191</v>
      </c>
      <c r="E41" s="149">
        <v>6.3</v>
      </c>
      <c r="F41" s="145" t="s">
        <v>651</v>
      </c>
      <c r="G41" s="2" t="s">
        <v>150</v>
      </c>
      <c r="H41" s="2">
        <v>1</v>
      </c>
      <c r="I41" s="2">
        <f t="shared" si="0"/>
        <v>6.3</v>
      </c>
      <c r="K41">
        <f>VLOOKUP(D41,Sheet3!A:C,3,0)</f>
        <v>6.3</v>
      </c>
      <c r="L41" t="b">
        <f t="shared" si="1"/>
        <v>1</v>
      </c>
    </row>
    <row r="42" spans="1:12" ht="15">
      <c r="A42" s="146" t="s">
        <v>345</v>
      </c>
      <c r="B42" s="151" t="s">
        <v>258</v>
      </c>
      <c r="C42" s="157" t="s">
        <v>677</v>
      </c>
      <c r="D42" s="152" t="s">
        <v>257</v>
      </c>
      <c r="E42" s="149">
        <v>1.2</v>
      </c>
      <c r="F42" s="145" t="s">
        <v>651</v>
      </c>
      <c r="G42" s="2" t="s">
        <v>150</v>
      </c>
      <c r="H42" s="2">
        <v>1</v>
      </c>
      <c r="I42" s="2">
        <f t="shared" si="0"/>
        <v>1.2</v>
      </c>
      <c r="K42">
        <f>VLOOKUP(D42,Sheet3!A:C,3,0)</f>
        <v>1.2</v>
      </c>
      <c r="L42" t="b">
        <f t="shared" si="1"/>
        <v>1</v>
      </c>
    </row>
    <row r="43" spans="1:12" ht="15">
      <c r="A43" s="153" t="s">
        <v>189</v>
      </c>
      <c r="B43" s="155" t="s">
        <v>190</v>
      </c>
      <c r="C43" s="157" t="s">
        <v>678</v>
      </c>
      <c r="D43" s="152" t="s">
        <v>679</v>
      </c>
      <c r="E43" s="149">
        <v>1.43</v>
      </c>
      <c r="F43" s="145" t="s">
        <v>651</v>
      </c>
      <c r="G43" s="2" t="s">
        <v>85</v>
      </c>
      <c r="H43" s="2">
        <v>25</v>
      </c>
      <c r="I43" s="2">
        <f t="shared" si="0"/>
        <v>35.75</v>
      </c>
      <c r="K43">
        <f>VLOOKUP(D43,Sheet3!A:C,3,0)</f>
        <v>35.75</v>
      </c>
      <c r="L43" t="b">
        <f t="shared" si="1"/>
        <v>1</v>
      </c>
    </row>
    <row r="44" spans="1:12" ht="15">
      <c r="A44" s="153" t="s">
        <v>334</v>
      </c>
      <c r="B44" s="155" t="s">
        <v>129</v>
      </c>
      <c r="C44" s="157" t="s">
        <v>680</v>
      </c>
      <c r="D44" s="152" t="s">
        <v>128</v>
      </c>
      <c r="E44" s="149">
        <v>8.0399999999999991</v>
      </c>
      <c r="F44" s="145" t="s">
        <v>651</v>
      </c>
      <c r="G44" s="2" t="s">
        <v>150</v>
      </c>
      <c r="H44" s="2">
        <v>1</v>
      </c>
      <c r="I44" s="2">
        <f t="shared" si="0"/>
        <v>8.0399999999999991</v>
      </c>
      <c r="K44">
        <f>VLOOKUP(D44,Sheet3!A:C,3,0)</f>
        <v>8.0399999999999991</v>
      </c>
      <c r="L44" t="b">
        <f t="shared" si="1"/>
        <v>1</v>
      </c>
    </row>
    <row r="45" spans="1:12" ht="15">
      <c r="A45" s="153" t="s">
        <v>305</v>
      </c>
      <c r="B45" s="155" t="s">
        <v>306</v>
      </c>
      <c r="C45" s="155" t="s">
        <v>681</v>
      </c>
      <c r="D45" s="155" t="s">
        <v>496</v>
      </c>
      <c r="E45" s="158">
        <v>4.3E-3</v>
      </c>
      <c r="F45" s="145" t="s">
        <v>651</v>
      </c>
      <c r="G45" s="2" t="s">
        <v>150</v>
      </c>
      <c r="H45" s="2">
        <v>1</v>
      </c>
      <c r="I45" s="2">
        <f t="shared" si="0"/>
        <v>4.3E-3</v>
      </c>
      <c r="K45">
        <f>VLOOKUP(D45,Sheet3!A:C,3,0)</f>
        <v>4.3E-3</v>
      </c>
      <c r="L45" t="b">
        <f t="shared" si="1"/>
        <v>1</v>
      </c>
    </row>
    <row r="46" spans="1:12" ht="15">
      <c r="A46" s="153" t="s">
        <v>302</v>
      </c>
      <c r="B46" s="155" t="s">
        <v>682</v>
      </c>
      <c r="C46" s="155" t="s">
        <v>663</v>
      </c>
      <c r="D46" s="155" t="s">
        <v>683</v>
      </c>
      <c r="E46" s="158">
        <v>4.7</v>
      </c>
      <c r="F46" s="145" t="s">
        <v>651</v>
      </c>
      <c r="G46" s="2" t="s">
        <v>150</v>
      </c>
      <c r="H46" s="2">
        <v>1</v>
      </c>
      <c r="I46" s="2">
        <f t="shared" si="0"/>
        <v>4.7</v>
      </c>
      <c r="K46">
        <f>VLOOKUP(D46,Sheet3!A:C,3,0)</f>
        <v>4.7</v>
      </c>
      <c r="L46" t="b">
        <f t="shared" si="1"/>
        <v>1</v>
      </c>
    </row>
    <row r="47" spans="1:12" ht="15.75" thickBot="1">
      <c r="A47" s="159" t="s">
        <v>303</v>
      </c>
      <c r="B47" s="160" t="s">
        <v>304</v>
      </c>
      <c r="C47" s="160" t="s">
        <v>663</v>
      </c>
      <c r="D47" s="160" t="s">
        <v>684</v>
      </c>
      <c r="E47" s="161">
        <v>2.54</v>
      </c>
      <c r="F47" s="145" t="s">
        <v>651</v>
      </c>
      <c r="G47" s="2" t="s">
        <v>150</v>
      </c>
      <c r="H47" s="2">
        <v>1</v>
      </c>
      <c r="I47" s="2">
        <f t="shared" si="0"/>
        <v>2.54</v>
      </c>
      <c r="K47">
        <f>VLOOKUP(D47,Sheet3!A:C,3,0)</f>
        <v>2.54</v>
      </c>
      <c r="L47" t="b">
        <f t="shared" si="1"/>
        <v>1</v>
      </c>
    </row>
    <row r="48" spans="1:12" ht="15.75" thickBot="1">
      <c r="A48" s="41" t="s">
        <v>311</v>
      </c>
      <c r="B48" s="162"/>
      <c r="C48" s="162"/>
      <c r="D48" s="162" t="s">
        <v>311</v>
      </c>
      <c r="E48" s="163"/>
      <c r="F48" s="145" t="s">
        <v>768</v>
      </c>
      <c r="G48" s="2" t="s">
        <v>768</v>
      </c>
      <c r="H48" s="2"/>
      <c r="I48" s="282">
        <v>491.06624039126103</v>
      </c>
    </row>
    <row r="49" spans="1:20" ht="15.75" thickBot="1">
      <c r="A49" s="41" t="s">
        <v>310</v>
      </c>
      <c r="B49" s="2"/>
      <c r="C49" s="2"/>
      <c r="D49" s="2" t="s">
        <v>310</v>
      </c>
      <c r="E49" s="2"/>
      <c r="F49" s="145" t="s">
        <v>769</v>
      </c>
      <c r="G49" s="2" t="s">
        <v>768</v>
      </c>
      <c r="H49" s="2"/>
      <c r="I49" s="282">
        <v>491.06624039126103</v>
      </c>
    </row>
    <row r="50" spans="1:20" ht="15">
      <c r="L50" s="137" t="s">
        <v>640</v>
      </c>
      <c r="M50" s="138" t="s">
        <v>685</v>
      </c>
      <c r="N50" s="138" t="s">
        <v>641</v>
      </c>
      <c r="O50" s="138" t="s">
        <v>642</v>
      </c>
      <c r="P50" s="139" t="s">
        <v>643</v>
      </c>
      <c r="Q50" s="2"/>
      <c r="R50" s="2"/>
      <c r="S50" s="2"/>
      <c r="T50" s="2"/>
    </row>
    <row r="51" spans="1:20" ht="15">
      <c r="L51" s="164" t="s">
        <v>239</v>
      </c>
      <c r="M51" s="165" t="s">
        <v>240</v>
      </c>
      <c r="N51" s="148" t="s">
        <v>686</v>
      </c>
      <c r="O51" s="164" t="s">
        <v>239</v>
      </c>
      <c r="P51" s="149">
        <v>3.1328999999999998</v>
      </c>
      <c r="Q51" s="145" t="s">
        <v>651</v>
      </c>
      <c r="R51" s="2" t="e">
        <f>VLOOKUP(O51,[2]!AtlasReport_1_Table_1[[#Headers],[#Data],[Item number]:[Invent Unit]],13,0)</f>
        <v>#REF!</v>
      </c>
      <c r="S51" s="2" t="e">
        <f>VLOOKUP(O51,[2]!AtlasReport_1_Table_1[[#Headers],[#Data],[Item number]:[Net weight]],9,0)</f>
        <v>#REF!</v>
      </c>
      <c r="T51" s="2" t="e">
        <f>P51*S51</f>
        <v>#REF!</v>
      </c>
    </row>
    <row r="52" spans="1:20" ht="15">
      <c r="L52" s="164" t="s">
        <v>242</v>
      </c>
      <c r="M52" s="165" t="s">
        <v>243</v>
      </c>
      <c r="N52" s="148" t="s">
        <v>686</v>
      </c>
      <c r="O52" s="164" t="s">
        <v>242</v>
      </c>
      <c r="P52" s="149">
        <v>2.8574999999999999</v>
      </c>
      <c r="Q52" s="145" t="s">
        <v>651</v>
      </c>
      <c r="R52" s="2" t="e">
        <f>VLOOKUP(O52,[2]!AtlasReport_1_Table_1[[#Headers],[#Data],[Item number]:[Invent Unit]],13,0)</f>
        <v>#REF!</v>
      </c>
      <c r="S52" s="2" t="e">
        <f>VLOOKUP(O52,[2]!AtlasReport_1_Table_1[[#Headers],[#Data],[Item number]:[Net weight]],9,0)</f>
        <v>#REF!</v>
      </c>
      <c r="T52" s="2" t="e">
        <f>P52*S52</f>
        <v>#REF!</v>
      </c>
    </row>
    <row r="53" spans="1:20" ht="15">
      <c r="L53" s="164" t="s">
        <v>244</v>
      </c>
      <c r="M53" s="165" t="s">
        <v>245</v>
      </c>
      <c r="N53" s="148" t="s">
        <v>686</v>
      </c>
      <c r="O53" s="164" t="s">
        <v>244</v>
      </c>
      <c r="P53" s="149">
        <v>2.7208999999999999</v>
      </c>
      <c r="Q53" s="145" t="s">
        <v>651</v>
      </c>
      <c r="R53" s="2" t="e">
        <f>VLOOKUP(O53,[2]!AtlasReport_1_Table_1[[#Headers],[#Data],[Item number]:[Invent Unit]],13,0)</f>
        <v>#REF!</v>
      </c>
      <c r="S53" s="2" t="e">
        <f>VLOOKUP(O53,[2]!AtlasReport_1_Table_1[[#Headers],[#Data],[Item number]:[Net weight]],9,0)</f>
        <v>#REF!</v>
      </c>
      <c r="T53" s="2" t="e">
        <f>P53*S53</f>
        <v>#REF!</v>
      </c>
    </row>
    <row r="54" spans="1:20" ht="15">
      <c r="L54" s="164" t="s">
        <v>246</v>
      </c>
      <c r="M54" s="165" t="s">
        <v>247</v>
      </c>
      <c r="N54" s="148" t="s">
        <v>686</v>
      </c>
      <c r="O54" s="164" t="s">
        <v>246</v>
      </c>
      <c r="P54" s="149">
        <v>1.5553999999999999</v>
      </c>
      <c r="Q54" s="145" t="s">
        <v>651</v>
      </c>
      <c r="R54" s="2" t="e">
        <f>VLOOKUP(O54,[2]!AtlasReport_1_Table_1[[#Headers],[#Data],[Item number]:[Invent Unit]],13,0)</f>
        <v>#REF!</v>
      </c>
      <c r="S54" s="2" t="e">
        <f>VLOOKUP(O54,[2]!AtlasReport_1_Table_1[[#Headers],[#Data],[Item number]:[Net weight]],9,0)</f>
        <v>#REF!</v>
      </c>
      <c r="T54" s="2" t="e">
        <f>P54*S54</f>
        <v>#REF!</v>
      </c>
    </row>
    <row r="55" spans="1:20" ht="15.75" thickBot="1">
      <c r="L55" s="166" t="s">
        <v>248</v>
      </c>
      <c r="M55" s="167" t="s">
        <v>249</v>
      </c>
      <c r="N55" s="168" t="s">
        <v>686</v>
      </c>
      <c r="O55" s="166" t="s">
        <v>248</v>
      </c>
      <c r="P55" s="169">
        <v>12.361499999999999</v>
      </c>
      <c r="Q55" s="145" t="s">
        <v>649</v>
      </c>
      <c r="R55" s="2" t="e">
        <f>VLOOKUP(O55,[2]!AtlasReport_1_Table_1[[#Headers],[#Data],[Item number]:[Invent Unit]],13,0)</f>
        <v>#REF!</v>
      </c>
      <c r="S55" s="2" t="e">
        <f>VLOOKUP(O55,[2]!AtlasReport_1_Table_1[[#Headers],[#Data],[Item number]:[Net weight]],9,0)</f>
        <v>#REF!</v>
      </c>
      <c r="T55" s="2" t="e">
        <f>P55*S55</f>
        <v>#REF!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products</vt:lpstr>
      <vt:lpstr>Product list 121317</vt:lpstr>
      <vt:lpstr>Raw materials</vt:lpstr>
      <vt:lpstr>BOMs setting</vt:lpstr>
      <vt:lpstr>Capacity of production</vt:lpstr>
      <vt:lpstr>Sheet2</vt:lpstr>
      <vt:lpstr>Sheet1</vt:lpstr>
      <vt:lpstr>Full Item list</vt:lpstr>
      <vt:lpstr>Cost Price New</vt:lpstr>
      <vt:lpstr>Sheet3</vt:lpstr>
      <vt:lpstr>Products price validation</vt:lpstr>
      <vt:lpstr>Original cost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dcterms:created xsi:type="dcterms:W3CDTF">2017-12-05T02:54:54Z</dcterms:created>
  <dcterms:modified xsi:type="dcterms:W3CDTF">2018-01-27T12:02:02Z</dcterms:modified>
</cp:coreProperties>
</file>